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3256" windowHeight="11328" tabRatio="875" firstSheet="4" activeTab="7"/>
  </bookViews>
  <sheets>
    <sheet name="СВОД (2)" sheetId="111" state="hidden" r:id="rId1"/>
    <sheet name="СВОД" sheetId="42" state="hidden" r:id="rId2"/>
    <sheet name="музей 2020" sheetId="80" state="hidden" r:id="rId3"/>
    <sheet name="Родина 2020" sheetId="81" state="hidden" r:id="rId4"/>
    <sheet name="раздел 1 (2021)" sheetId="207" r:id="rId5"/>
    <sheet name="раздел 1 (2022)" sheetId="458" r:id="rId6"/>
    <sheet name="раздел 1 (2023)" sheetId="457" r:id="rId7"/>
    <sheet name="раздел 2 " sheetId="498" r:id="rId8"/>
    <sheet name="раздел 1( за пред.)" sheetId="459" r:id="rId9"/>
    <sheet name="ГЦК+Энергия 2020" sheetId="84" state="hidden" r:id="rId10"/>
    <sheet name="Юбилейный 2020" sheetId="85" state="hidden" r:id="rId11"/>
    <sheet name="Высоцкий 2020" sheetId="86" state="hidden" r:id="rId12"/>
    <sheet name="музей 2021" sheetId="99" state="hidden" r:id="rId13"/>
    <sheet name="Родина 2021" sheetId="100" state="hidden" r:id="rId14"/>
    <sheet name="ЦБС 2021" sheetId="101" state="hidden" r:id="rId15"/>
    <sheet name="ГЦК+Энергия 2021" sheetId="102" state="hidden" r:id="rId16"/>
    <sheet name="Юбилейный 2021" sheetId="103" state="hidden" r:id="rId17"/>
    <sheet name="Высоцкий 2021" sheetId="104" state="hidden" r:id="rId18"/>
    <sheet name="музей 2022" sheetId="105" state="hidden" r:id="rId19"/>
    <sheet name="Родина 2022" sheetId="106" state="hidden" r:id="rId20"/>
    <sheet name="ЦБС 2022" sheetId="107" state="hidden" r:id="rId21"/>
    <sheet name="ГЦК+Энергия 2022" sheetId="108" state="hidden" r:id="rId22"/>
    <sheet name="Юбилейный 2022" sheetId="109" state="hidden" r:id="rId23"/>
    <sheet name="Высоцкий 2022" sheetId="110"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in2007" localSheetId="5">#REF!</definedName>
    <definedName name="_in2007" localSheetId="6">#REF!</definedName>
    <definedName name="_in2007" localSheetId="8">#REF!</definedName>
    <definedName name="_in2007" localSheetId="7">#REF!</definedName>
    <definedName name="_in2007">#REF!</definedName>
    <definedName name="_in2007_14" localSheetId="5">#REF!</definedName>
    <definedName name="_in2007_14" localSheetId="6">#REF!</definedName>
    <definedName name="_in2007_14" localSheetId="8">#REF!</definedName>
    <definedName name="_in2007_14" localSheetId="7">#REF!</definedName>
    <definedName name="_in2007_14">#REF!</definedName>
    <definedName name="_in2008" localSheetId="5">#REF!</definedName>
    <definedName name="_in2008" localSheetId="6">#REF!</definedName>
    <definedName name="_in2008" localSheetId="8">#REF!</definedName>
    <definedName name="_in2008" localSheetId="7">#REF!</definedName>
    <definedName name="_in2008">#REF!</definedName>
    <definedName name="_in2008_14" localSheetId="5">#REF!</definedName>
    <definedName name="_in2008_14" localSheetId="6">#REF!</definedName>
    <definedName name="_in2008_14" localSheetId="8">#REF!</definedName>
    <definedName name="_in2008_14" localSheetId="7">#REF!</definedName>
    <definedName name="_in2008_14">#REF!</definedName>
    <definedName name="_in2009" localSheetId="5">#REF!</definedName>
    <definedName name="_in2009" localSheetId="6">#REF!</definedName>
    <definedName name="_in2009" localSheetId="8">#REF!</definedName>
    <definedName name="_in2009" localSheetId="7">#REF!</definedName>
    <definedName name="_in2009">#REF!</definedName>
    <definedName name="_in2009_14" localSheetId="5">#REF!</definedName>
    <definedName name="_in2009_14" localSheetId="6">#REF!</definedName>
    <definedName name="_in2009_14" localSheetId="8">#REF!</definedName>
    <definedName name="_in2009_14" localSheetId="7">#REF!</definedName>
    <definedName name="_in2009_14">#REF!</definedName>
    <definedName name="_in2010" localSheetId="5">#REF!</definedName>
    <definedName name="_in2010" localSheetId="6">#REF!</definedName>
    <definedName name="_in2010" localSheetId="8">#REF!</definedName>
    <definedName name="_in2010" localSheetId="7">#REF!</definedName>
    <definedName name="_in2010">#REF!</definedName>
    <definedName name="_in2010_14" localSheetId="5">#REF!</definedName>
    <definedName name="_in2010_14" localSheetId="6">#REF!</definedName>
    <definedName name="_in2010_14" localSheetId="8">#REF!</definedName>
    <definedName name="_in2010_14" localSheetId="7">#REF!</definedName>
    <definedName name="_in2010_14">#REF!</definedName>
    <definedName name="_in2011" localSheetId="5">#REF!</definedName>
    <definedName name="_in2011" localSheetId="6">#REF!</definedName>
    <definedName name="_in2011" localSheetId="8">#REF!</definedName>
    <definedName name="_in2011" localSheetId="7">#REF!</definedName>
    <definedName name="_in2011">#REF!</definedName>
    <definedName name="_in2011_14" localSheetId="5">#REF!</definedName>
    <definedName name="_in2011_14" localSheetId="6">#REF!</definedName>
    <definedName name="_in2011_14" localSheetId="8">#REF!</definedName>
    <definedName name="_in2011_14" localSheetId="7">#REF!</definedName>
    <definedName name="_in2011_14">#REF!</definedName>
    <definedName name="_in2012" localSheetId="5">#REF!</definedName>
    <definedName name="_in2012" localSheetId="6">#REF!</definedName>
    <definedName name="_in2012" localSheetId="8">#REF!</definedName>
    <definedName name="_in2012" localSheetId="7">#REF!</definedName>
    <definedName name="_in2012">#REF!</definedName>
    <definedName name="_in2012_14" localSheetId="5">#REF!</definedName>
    <definedName name="_in2012_14" localSheetId="6">#REF!</definedName>
    <definedName name="_in2012_14" localSheetId="8">#REF!</definedName>
    <definedName name="_in2012_14" localSheetId="7">#REF!</definedName>
    <definedName name="_in2012_14">#REF!</definedName>
    <definedName name="_in2013" localSheetId="5">#REF!</definedName>
    <definedName name="_in2013" localSheetId="6">#REF!</definedName>
    <definedName name="_in2013" localSheetId="8">#REF!</definedName>
    <definedName name="_in2013" localSheetId="7">#REF!</definedName>
    <definedName name="_in2013">#REF!</definedName>
    <definedName name="_in2013_14" localSheetId="5">#REF!</definedName>
    <definedName name="_in2013_14" localSheetId="6">#REF!</definedName>
    <definedName name="_in2013_14" localSheetId="8">#REF!</definedName>
    <definedName name="_in2013_14" localSheetId="7">#REF!</definedName>
    <definedName name="_in2013_14">#REF!</definedName>
    <definedName name="_in2014" localSheetId="5">#REF!</definedName>
    <definedName name="_in2014" localSheetId="6">#REF!</definedName>
    <definedName name="_in2014" localSheetId="8">#REF!</definedName>
    <definedName name="_in2014" localSheetId="7">#REF!</definedName>
    <definedName name="_in2014">#REF!</definedName>
    <definedName name="_in2014_14" localSheetId="5">#REF!</definedName>
    <definedName name="_in2014_14" localSheetId="6">#REF!</definedName>
    <definedName name="_in2014_14" localSheetId="8">#REF!</definedName>
    <definedName name="_in2014_14" localSheetId="7">#REF!</definedName>
    <definedName name="_in2014_14">#REF!</definedName>
    <definedName name="_in2015" localSheetId="5">#REF!</definedName>
    <definedName name="_in2015" localSheetId="6">#REF!</definedName>
    <definedName name="_in2015" localSheetId="8">#REF!</definedName>
    <definedName name="_in2015" localSheetId="7">#REF!</definedName>
    <definedName name="_in2015">#REF!</definedName>
    <definedName name="_in2015_14" localSheetId="5">#REF!</definedName>
    <definedName name="_in2015_14" localSheetId="6">#REF!</definedName>
    <definedName name="_in2015_14" localSheetId="8">#REF!</definedName>
    <definedName name="_in2015_14" localSheetId="7">#REF!</definedName>
    <definedName name="_in2015_14">#REF!</definedName>
    <definedName name="_inf2007" localSheetId="5">#REF!</definedName>
    <definedName name="_inf2007" localSheetId="6">#REF!</definedName>
    <definedName name="_inf2007" localSheetId="8">#REF!</definedName>
    <definedName name="_inf2007" localSheetId="7">#REF!</definedName>
    <definedName name="_inf2007">#REF!</definedName>
    <definedName name="_inf2007_14" localSheetId="5">#REF!</definedName>
    <definedName name="_inf2007_14" localSheetId="6">#REF!</definedName>
    <definedName name="_inf2007_14" localSheetId="8">#REF!</definedName>
    <definedName name="_inf2007_14" localSheetId="7">#REF!</definedName>
    <definedName name="_inf2007_14">#REF!</definedName>
    <definedName name="_inf2008" localSheetId="5">#REF!</definedName>
    <definedName name="_inf2008" localSheetId="6">#REF!</definedName>
    <definedName name="_inf2008" localSheetId="8">#REF!</definedName>
    <definedName name="_inf2008" localSheetId="7">#REF!</definedName>
    <definedName name="_inf2008">#REF!</definedName>
    <definedName name="_inf2008_14" localSheetId="5">#REF!</definedName>
    <definedName name="_inf2008_14" localSheetId="6">#REF!</definedName>
    <definedName name="_inf2008_14" localSheetId="8">#REF!</definedName>
    <definedName name="_inf2008_14" localSheetId="7">#REF!</definedName>
    <definedName name="_inf2008_14">#REF!</definedName>
    <definedName name="_inf2009" localSheetId="5">#REF!</definedName>
    <definedName name="_inf2009" localSheetId="6">#REF!</definedName>
    <definedName name="_inf2009" localSheetId="8">#REF!</definedName>
    <definedName name="_inf2009" localSheetId="7">#REF!</definedName>
    <definedName name="_inf2009">#REF!</definedName>
    <definedName name="_inf2009_14" localSheetId="5">#REF!</definedName>
    <definedName name="_inf2009_14" localSheetId="6">#REF!</definedName>
    <definedName name="_inf2009_14" localSheetId="8">#REF!</definedName>
    <definedName name="_inf2009_14" localSheetId="7">#REF!</definedName>
    <definedName name="_inf2009_14">#REF!</definedName>
    <definedName name="_inf2010" localSheetId="5">#REF!</definedName>
    <definedName name="_inf2010" localSheetId="6">#REF!</definedName>
    <definedName name="_inf2010" localSheetId="8">#REF!</definedName>
    <definedName name="_inf2010" localSheetId="7">#REF!</definedName>
    <definedName name="_inf2010">#REF!</definedName>
    <definedName name="_inf2010_14" localSheetId="5">#REF!</definedName>
    <definedName name="_inf2010_14" localSheetId="6">#REF!</definedName>
    <definedName name="_inf2010_14" localSheetId="8">#REF!</definedName>
    <definedName name="_inf2010_14" localSheetId="7">#REF!</definedName>
    <definedName name="_inf2010_14">#REF!</definedName>
    <definedName name="_inf2011" localSheetId="5">#REF!</definedName>
    <definedName name="_inf2011" localSheetId="6">#REF!</definedName>
    <definedName name="_inf2011" localSheetId="8">#REF!</definedName>
    <definedName name="_inf2011" localSheetId="7">#REF!</definedName>
    <definedName name="_inf2011">#REF!</definedName>
    <definedName name="_inf2011_14" localSheetId="5">#REF!</definedName>
    <definedName name="_inf2011_14" localSheetId="6">#REF!</definedName>
    <definedName name="_inf2011_14" localSheetId="8">#REF!</definedName>
    <definedName name="_inf2011_14" localSheetId="7">#REF!</definedName>
    <definedName name="_inf2011_14">#REF!</definedName>
    <definedName name="_inf2012" localSheetId="5">#REF!</definedName>
    <definedName name="_inf2012" localSheetId="6">#REF!</definedName>
    <definedName name="_inf2012" localSheetId="8">#REF!</definedName>
    <definedName name="_inf2012" localSheetId="7">#REF!</definedName>
    <definedName name="_inf2012">#REF!</definedName>
    <definedName name="_inf2012_14" localSheetId="5">#REF!</definedName>
    <definedName name="_inf2012_14" localSheetId="6">#REF!</definedName>
    <definedName name="_inf2012_14" localSheetId="8">#REF!</definedName>
    <definedName name="_inf2012_14" localSheetId="7">#REF!</definedName>
    <definedName name="_inf2012_14">#REF!</definedName>
    <definedName name="_inf2013" localSheetId="5">#REF!</definedName>
    <definedName name="_inf2013" localSheetId="6">#REF!</definedName>
    <definedName name="_inf2013" localSheetId="8">#REF!</definedName>
    <definedName name="_inf2013" localSheetId="7">#REF!</definedName>
    <definedName name="_inf2013">#REF!</definedName>
    <definedName name="_inf2013_14" localSheetId="5">#REF!</definedName>
    <definedName name="_inf2013_14" localSheetId="6">#REF!</definedName>
    <definedName name="_inf2013_14" localSheetId="8">#REF!</definedName>
    <definedName name="_inf2013_14" localSheetId="7">#REF!</definedName>
    <definedName name="_inf2013_14">#REF!</definedName>
    <definedName name="_inf20131" localSheetId="5">#REF!</definedName>
    <definedName name="_inf20131" localSheetId="6">#REF!</definedName>
    <definedName name="_inf20131" localSheetId="8">#REF!</definedName>
    <definedName name="_inf20131" localSheetId="7">#REF!</definedName>
    <definedName name="_inf20131">#REF!</definedName>
    <definedName name="_inf2014" localSheetId="5">#REF!</definedName>
    <definedName name="_inf2014" localSheetId="6">#REF!</definedName>
    <definedName name="_inf2014" localSheetId="8">#REF!</definedName>
    <definedName name="_inf2014" localSheetId="7">#REF!</definedName>
    <definedName name="_inf2014">#REF!</definedName>
    <definedName name="_inf2014_14" localSheetId="5">#REF!</definedName>
    <definedName name="_inf2014_14" localSheetId="6">#REF!</definedName>
    <definedName name="_inf2014_14" localSheetId="8">#REF!</definedName>
    <definedName name="_inf2014_14" localSheetId="7">#REF!</definedName>
    <definedName name="_inf2014_14">#REF!</definedName>
    <definedName name="_inf2015" localSheetId="5">#REF!</definedName>
    <definedName name="_inf2015" localSheetId="6">#REF!</definedName>
    <definedName name="_inf2015" localSheetId="8">#REF!</definedName>
    <definedName name="_inf2015" localSheetId="7">#REF!</definedName>
    <definedName name="_inf2015">#REF!</definedName>
    <definedName name="_inf2015_" localSheetId="5">#REF!</definedName>
    <definedName name="_inf2015_" localSheetId="6">#REF!</definedName>
    <definedName name="_inf2015_" localSheetId="8">#REF!</definedName>
    <definedName name="_inf2015_" localSheetId="7">#REF!</definedName>
    <definedName name="_inf2015_">#REF!</definedName>
    <definedName name="_inf2015_14" localSheetId="5">#REF!</definedName>
    <definedName name="_inf2015_14" localSheetId="6">#REF!</definedName>
    <definedName name="_inf2015_14" localSheetId="8">#REF!</definedName>
    <definedName name="_inf2015_14" localSheetId="7">#REF!</definedName>
    <definedName name="_inf2015_14">#REF!</definedName>
    <definedName name="_inf2016" localSheetId="5">#REF!</definedName>
    <definedName name="_inf2016" localSheetId="6">#REF!</definedName>
    <definedName name="_inf2016" localSheetId="8">#REF!</definedName>
    <definedName name="_inf2016" localSheetId="7">#REF!</definedName>
    <definedName name="_inf2016">#REF!</definedName>
    <definedName name="_mm1" localSheetId="5">[1]ПРОГНОЗ_1!#REF!</definedName>
    <definedName name="_mm1" localSheetId="6">[1]ПРОГНОЗ_1!#REF!</definedName>
    <definedName name="_mm1" localSheetId="8">[1]ПРОГНОЗ_1!#REF!</definedName>
    <definedName name="_mm1" localSheetId="7">[1]ПРОГНОЗ_1!#REF!</definedName>
    <definedName name="_mm1">[1]ПРОГНОЗ_1!#REF!</definedName>
    <definedName name="_mm1_14" localSheetId="5">[1]ПРОГНОЗ_1!#REF!</definedName>
    <definedName name="_mm1_14" localSheetId="6">[1]ПРОГНОЗ_1!#REF!</definedName>
    <definedName name="_mm1_14" localSheetId="8">[1]ПРОГНОЗ_1!#REF!</definedName>
    <definedName name="_mm1_14" localSheetId="7">[1]ПРОГНОЗ_1!#REF!</definedName>
    <definedName name="_mm1_14">[1]ПРОГНОЗ_1!#REF!</definedName>
    <definedName name="_xlnm._FilterDatabase" localSheetId="11" hidden="1">'Высоцкий 2020'!$A$8:$AS$28</definedName>
    <definedName name="_xlnm._FilterDatabase" localSheetId="17" hidden="1">'Высоцкий 2021'!$A$8:$AS$28</definedName>
    <definedName name="_xlnm._FilterDatabase" localSheetId="23" hidden="1">'Высоцкий 2022'!$A$8:$AS$28</definedName>
    <definedName name="_xlnm._FilterDatabase" localSheetId="9" hidden="1">'ГЦК+Энергия 2020'!$A$8:$AS$57</definedName>
    <definedName name="_xlnm._FilterDatabase" localSheetId="15" hidden="1">'ГЦК+Энергия 2021'!$A$8:$AS$57</definedName>
    <definedName name="_xlnm._FilterDatabase" localSheetId="21" hidden="1">'ГЦК+Энергия 2022'!$A$8:$AS$57</definedName>
    <definedName name="_xlnm._FilterDatabase" localSheetId="2" hidden="1">'музей 2020'!$A$8:$AP$30</definedName>
    <definedName name="_xlnm._FilterDatabase" localSheetId="12" hidden="1">'музей 2021'!$A$8:$AP$30</definedName>
    <definedName name="_xlnm._FilterDatabase" localSheetId="18" hidden="1">'музей 2022'!$A$8:$AP$30</definedName>
    <definedName name="_xlnm._FilterDatabase" localSheetId="3" hidden="1">'Родина 2020'!$A$8:$AS$8</definedName>
    <definedName name="_xlnm._FilterDatabase" localSheetId="13" hidden="1">'Родина 2021'!$A$8:$AS$8</definedName>
    <definedName name="_xlnm._FilterDatabase" localSheetId="19" hidden="1">'Родина 2022'!$A$8:$AS$8</definedName>
    <definedName name="_xlnm._FilterDatabase" localSheetId="14" hidden="1">'ЦБС 2021'!$A$8:$AS$24</definedName>
    <definedName name="_xlnm._FilterDatabase" localSheetId="20" hidden="1">'ЦБС 2022'!$A$8:$AS$24</definedName>
    <definedName name="_xlnm._FilterDatabase" localSheetId="10" hidden="1">'Юбилейный 2020'!$A$8:$AS$25</definedName>
    <definedName name="_xlnm._FilterDatabase" localSheetId="16" hidden="1">'Юбилейный 2021'!$A$8:$AS$25</definedName>
    <definedName name="_xlnm._FilterDatabase" localSheetId="22" hidden="1">'Юбилейный 2022'!$A$8:$AS$25</definedName>
    <definedName name="ddd" localSheetId="5">[2]ПРОГНОЗ_1!#REF!</definedName>
    <definedName name="ddd" localSheetId="6">[2]ПРОГНОЗ_1!#REF!</definedName>
    <definedName name="ddd" localSheetId="8">[2]ПРОГНОЗ_1!#REF!</definedName>
    <definedName name="ddd" localSheetId="7">[2]ПРОГНОЗ_1!#REF!</definedName>
    <definedName name="ddd">[2]ПРОГНОЗ_1!#REF!</definedName>
    <definedName name="ddd_14" localSheetId="5">[2]ПРОГНОЗ_1!#REF!</definedName>
    <definedName name="ddd_14" localSheetId="6">[2]ПРОГНОЗ_1!#REF!</definedName>
    <definedName name="ddd_14" localSheetId="8">[2]ПРОГНОЗ_1!#REF!</definedName>
    <definedName name="ddd_14" localSheetId="7">[2]ПРОГНОЗ_1!#REF!</definedName>
    <definedName name="ddd_14">[2]ПРОГНОЗ_1!#REF!</definedName>
    <definedName name="Excel_BuiltIn__FilterDatabase_15" localSheetId="5">#REF!</definedName>
    <definedName name="Excel_BuiltIn__FilterDatabase_15" localSheetId="6">#REF!</definedName>
    <definedName name="Excel_BuiltIn__FilterDatabase_15" localSheetId="8">#REF!</definedName>
    <definedName name="Excel_BuiltIn__FilterDatabase_15" localSheetId="7">#REF!</definedName>
    <definedName name="Excel_BuiltIn__FilterDatabase_15">#REF!</definedName>
    <definedName name="ff" localSheetId="5">#REF!</definedName>
    <definedName name="ff" localSheetId="6">#REF!</definedName>
    <definedName name="ff" localSheetId="8">#REF!</definedName>
    <definedName name="ff" localSheetId="7">#REF!</definedName>
    <definedName name="ff">#REF!</definedName>
    <definedName name="ff_14" localSheetId="5">#REF!</definedName>
    <definedName name="ff_14" localSheetId="6">#REF!</definedName>
    <definedName name="ff_14" localSheetId="8">#REF!</definedName>
    <definedName name="ff_14" localSheetId="7">#REF!</definedName>
    <definedName name="ff_14">#REF!</definedName>
    <definedName name="fffff" localSheetId="5">'[3]Гр5(о)'!#REF!</definedName>
    <definedName name="fffff" localSheetId="6">'[3]Гр5(о)'!#REF!</definedName>
    <definedName name="fffff" localSheetId="8">'[3]Гр5(о)'!#REF!</definedName>
    <definedName name="fffff" localSheetId="7">'[3]Гр5(о)'!#REF!</definedName>
    <definedName name="fffff">'[3]Гр5(о)'!#REF!</definedName>
    <definedName name="fffff_14" localSheetId="5">'[3]Гр5(о)'!#REF!</definedName>
    <definedName name="fffff_14" localSheetId="6">'[3]Гр5(о)'!#REF!</definedName>
    <definedName name="fffff_14" localSheetId="8">'[3]Гр5(о)'!#REF!</definedName>
    <definedName name="fffff_14" localSheetId="7">'[3]Гр5(о)'!#REF!</definedName>
    <definedName name="fffff_14">'[3]Гр5(о)'!#REF!</definedName>
    <definedName name="gggg" localSheetId="5">#REF!</definedName>
    <definedName name="gggg" localSheetId="6">#REF!</definedName>
    <definedName name="gggg" localSheetId="8">#REF!</definedName>
    <definedName name="gggg" localSheetId="7">#REF!</definedName>
    <definedName name="gggg">#REF!</definedName>
    <definedName name="gggg_14" localSheetId="5">#REF!</definedName>
    <definedName name="gggg_14" localSheetId="6">#REF!</definedName>
    <definedName name="gggg_14" localSheetId="8">#REF!</definedName>
    <definedName name="gggg_14" localSheetId="7">#REF!</definedName>
    <definedName name="gggg_14">#REF!</definedName>
    <definedName name="jjjj" localSheetId="5">'[4]Гр5(о)'!#REF!</definedName>
    <definedName name="jjjj" localSheetId="6">'[4]Гр5(о)'!#REF!</definedName>
    <definedName name="jjjj" localSheetId="8">'[4]Гр5(о)'!#REF!</definedName>
    <definedName name="jjjj" localSheetId="7">'[4]Гр5(о)'!#REF!</definedName>
    <definedName name="jjjj">'[4]Гр5(о)'!#REF!</definedName>
    <definedName name="jjjj_14" localSheetId="5">'[4]Гр5(о)'!#REF!</definedName>
    <definedName name="jjjj_14" localSheetId="6">'[4]Гр5(о)'!#REF!</definedName>
    <definedName name="jjjj_14" localSheetId="8">'[4]Гр5(о)'!#REF!</definedName>
    <definedName name="jjjj_14" localSheetId="7">'[4]Гр5(о)'!#REF!</definedName>
    <definedName name="jjjj_14">'[4]Гр5(о)'!#REF!</definedName>
    <definedName name="TABLE" localSheetId="7">'раздел 2 '!#REF!</definedName>
    <definedName name="TABLE_2" localSheetId="7">'раздел 2 '!#REF!</definedName>
    <definedName name="XDO_?ACTDOMCODE?" localSheetId="5">#REF!</definedName>
    <definedName name="XDO_?ACTDOMCODE?" localSheetId="6">#REF!</definedName>
    <definedName name="XDO_?ACTDOMCODE?" localSheetId="8">#REF!</definedName>
    <definedName name="XDO_?ACTDOMCODE?" localSheetId="7">#REF!</definedName>
    <definedName name="XDO_?ACTDOMCODE?">#REF!</definedName>
    <definedName name="XDO_?ACTDOMNAME?" localSheetId="5">#REF!</definedName>
    <definedName name="XDO_?ACTDOMNAME?" localSheetId="6">#REF!</definedName>
    <definedName name="XDO_?ACTDOMNAME?" localSheetId="8">#REF!</definedName>
    <definedName name="XDO_?ACTDOMNAME?" localSheetId="7">#REF!</definedName>
    <definedName name="XDO_?ACTDOMNAME?">#REF!</definedName>
    <definedName name="XDO_?BELONG210FL?" localSheetId="5">#REF!</definedName>
    <definedName name="XDO_?BELONG210FL?" localSheetId="6">#REF!</definedName>
    <definedName name="XDO_?BELONG210FL?" localSheetId="8">#REF!</definedName>
    <definedName name="XDO_?BELONG210FL?" localSheetId="7">#REF!</definedName>
    <definedName name="XDO_?BELONG210FL?">#REF!</definedName>
    <definedName name="XDO_?CSMCTGY_NAME?" localSheetId="5">#REF!</definedName>
    <definedName name="XDO_?CSMCTGY_NAME?" localSheetId="6">#REF!</definedName>
    <definedName name="XDO_?CSMCTGY_NAME?" localSheetId="8">#REF!</definedName>
    <definedName name="XDO_?CSMCTGY_NAME?" localSheetId="7">#REF!</definedName>
    <definedName name="XDO_?CSMCTGY_NAME?">#REF!</definedName>
    <definedName name="XDO_?INSTKND_NAME?" localSheetId="5">#REF!</definedName>
    <definedName name="XDO_?INSTKND_NAME?" localSheetId="6">#REF!</definedName>
    <definedName name="XDO_?INSTKND_NAME?" localSheetId="8">#REF!</definedName>
    <definedName name="XDO_?INSTKND_NAME?" localSheetId="7">#REF!</definedName>
    <definedName name="XDO_?INSTKND_NAME?">#REF!</definedName>
    <definedName name="XDO_?LGLACT_APPROVEDBY?" localSheetId="5">#REF!</definedName>
    <definedName name="XDO_?LGLACT_APPROVEDBY?" localSheetId="6">#REF!</definedName>
    <definedName name="XDO_?LGLACT_APPROVEDBY?" localSheetId="8">#REF!</definedName>
    <definedName name="XDO_?LGLACT_APPROVEDBY?" localSheetId="7">#REF!</definedName>
    <definedName name="XDO_?LGLACT_APPROVEDBY?">#REF!</definedName>
    <definedName name="XDO_?LGLACT_APPRVDAT?" localSheetId="5">#REF!</definedName>
    <definedName name="XDO_?LGLACT_APPRVDAT?" localSheetId="6">#REF!</definedName>
    <definedName name="XDO_?LGLACT_APPRVDAT?" localSheetId="8">#REF!</definedName>
    <definedName name="XDO_?LGLACT_APPRVDAT?" localSheetId="7">#REF!</definedName>
    <definedName name="XDO_?LGLACT_APPRVDAT?">#REF!</definedName>
    <definedName name="XDO_?LGLACT_NAME?" localSheetId="5">#REF!</definedName>
    <definedName name="XDO_?LGLACT_NAME?" localSheetId="6">#REF!</definedName>
    <definedName name="XDO_?LGLACT_NAME?" localSheetId="8">#REF!</definedName>
    <definedName name="XDO_?LGLACT_NAME?" localSheetId="7">#REF!</definedName>
    <definedName name="XDO_?LGLACT_NAME?">#REF!</definedName>
    <definedName name="XDO_?NAME_1?" localSheetId="5">#REF!</definedName>
    <definedName name="XDO_?NAME_1?" localSheetId="6">#REF!</definedName>
    <definedName name="XDO_?NAME_1?" localSheetId="8">#REF!</definedName>
    <definedName name="XDO_?NAME_1?" localSheetId="7">#REF!</definedName>
    <definedName name="XDO_?NAME_1?">#REF!</definedName>
    <definedName name="XDO_?NAME_2?" localSheetId="5">#REF!</definedName>
    <definedName name="XDO_?NAME_2?" localSheetId="6">#REF!</definedName>
    <definedName name="XDO_?NAME_2?" localSheetId="8">#REF!</definedName>
    <definedName name="XDO_?NAME_2?" localSheetId="7">#REF!</definedName>
    <definedName name="XDO_?NAME_2?">#REF!</definedName>
    <definedName name="XDO_?NAME_CODE?" localSheetId="5">#REF!</definedName>
    <definedName name="XDO_?NAME_CODE?" localSheetId="6">#REF!</definedName>
    <definedName name="XDO_?NAME_CODE?" localSheetId="8">#REF!</definedName>
    <definedName name="XDO_?NAME_CODE?" localSheetId="7">#REF!</definedName>
    <definedName name="XDO_?NAME_CODE?">#REF!</definedName>
    <definedName name="XDO_?NAME_NAME?" localSheetId="5">#REF!</definedName>
    <definedName name="XDO_?NAME_NAME?" localSheetId="6">#REF!</definedName>
    <definedName name="XDO_?NAME_NAME?" localSheetId="8">#REF!</definedName>
    <definedName name="XDO_?NAME_NAME?" localSheetId="7">#REF!</definedName>
    <definedName name="XDO_?NAME_NAME?">#REF!</definedName>
    <definedName name="XDO_?NCSRLYBELONG210FL?" localSheetId="5">#REF!</definedName>
    <definedName name="XDO_?NCSRLYBELONG210FL?" localSheetId="6">#REF!</definedName>
    <definedName name="XDO_?NCSRLYBELONG210FL?" localSheetId="8">#REF!</definedName>
    <definedName name="XDO_?NCSRLYBELONG210FL?" localSheetId="7">#REF!</definedName>
    <definedName name="XDO_?NCSRLYBELONG210FL?">#REF!</definedName>
    <definedName name="XDO_?NPA_DESCRIPTIONS?" localSheetId="5">#REF!</definedName>
    <definedName name="XDO_?NPA_DESCRIPTIONS?" localSheetId="6">#REF!</definedName>
    <definedName name="XDO_?NPA_DESCRIPTIONS?" localSheetId="8">#REF!</definedName>
    <definedName name="XDO_?NPA_DESCRIPTIONS?" localSheetId="7">#REF!</definedName>
    <definedName name="XDO_?NPA_DESCRIPTIONS?">#REF!</definedName>
    <definedName name="XDO_?PBL_NAMES?" localSheetId="5">#REF!</definedName>
    <definedName name="XDO_?PBL_NAMES?" localSheetId="6">#REF!</definedName>
    <definedName name="XDO_?PBL_NAMES?" localSheetId="8">#REF!</definedName>
    <definedName name="XDO_?PBL_NAMES?" localSheetId="7">#REF!</definedName>
    <definedName name="XDO_?PBL_NAMES?">#REF!</definedName>
    <definedName name="XDO_?QI_NAME?" localSheetId="5">#REF!</definedName>
    <definedName name="XDO_?QI_NAME?" localSheetId="6">#REF!</definedName>
    <definedName name="XDO_?QI_NAME?" localSheetId="8">#REF!</definedName>
    <definedName name="XDO_?QI_NAME?" localSheetId="7">#REF!</definedName>
    <definedName name="XDO_?QI_NAME?">#REF!</definedName>
    <definedName name="XDO_?RCA_CODE?" localSheetId="5">#REF!</definedName>
    <definedName name="XDO_?RCA_CODE?" localSheetId="6">#REF!</definedName>
    <definedName name="XDO_?RCA_CODE?" localSheetId="8">#REF!</definedName>
    <definedName name="XDO_?RCA_CODE?" localSheetId="7">#REF!</definedName>
    <definedName name="XDO_?RCA_CODE?">#REF!</definedName>
    <definedName name="XDO_?REGRNUMBER?" localSheetId="5">#REF!</definedName>
    <definedName name="XDO_?REGRNUMBER?" localSheetId="6">#REF!</definedName>
    <definedName name="XDO_?REGRNUMBER?" localSheetId="8">#REF!</definedName>
    <definedName name="XDO_?REGRNUMBER?" localSheetId="7">#REF!</definedName>
    <definedName name="XDO_?REGRNUMBER?">#REF!</definedName>
    <definedName name="XDO_?ROWNUMBER?" localSheetId="5">#REF!</definedName>
    <definedName name="XDO_?ROWNUMBER?" localSheetId="6">#REF!</definedName>
    <definedName name="XDO_?ROWNUMBER?" localSheetId="8">#REF!</definedName>
    <definedName name="XDO_?ROWNUMBER?" localSheetId="7">#REF!</definedName>
    <definedName name="XDO_?ROWNUMBER?">#REF!</definedName>
    <definedName name="XDO_?RUCLSPRECACS_CODE?" localSheetId="5">#REF!</definedName>
    <definedName name="XDO_?RUCLSPRECACS_CODE?" localSheetId="6">#REF!</definedName>
    <definedName name="XDO_?RUCLSPRECACS_CODE?" localSheetId="8">#REF!</definedName>
    <definedName name="XDO_?RUCLSPRECACS_CODE?" localSheetId="7">#REF!</definedName>
    <definedName name="XDO_?RUCLSPRECACS_CODE?">#REF!</definedName>
    <definedName name="XDO_?SC_NAME_1?" localSheetId="5">#REF!</definedName>
    <definedName name="XDO_?SC_NAME_1?" localSheetId="6">#REF!</definedName>
    <definedName name="XDO_?SC_NAME_1?" localSheetId="8">#REF!</definedName>
    <definedName name="XDO_?SC_NAME_1?" localSheetId="7">#REF!</definedName>
    <definedName name="XDO_?SC_NAME_1?">#REF!</definedName>
    <definedName name="XDO_?SC_NAME_2?" localSheetId="5">#REF!</definedName>
    <definedName name="XDO_?SC_NAME_2?" localSheetId="6">#REF!</definedName>
    <definedName name="XDO_?SC_NAME_2?" localSheetId="8">#REF!</definedName>
    <definedName name="XDO_?SC_NAME_2?" localSheetId="7">#REF!</definedName>
    <definedName name="XDO_?SC_NAME_2?">#REF!</definedName>
    <definedName name="XDO_?SC_NAME_3?" localSheetId="5">#REF!</definedName>
    <definedName name="XDO_?SC_NAME_3?" localSheetId="6">#REF!</definedName>
    <definedName name="XDO_?SC_NAME_3?" localSheetId="8">#REF!</definedName>
    <definedName name="XDO_?SC_NAME_3?" localSheetId="7">#REF!</definedName>
    <definedName name="XDO_?SC_NAME_3?">#REF!</definedName>
    <definedName name="XDO_?SVCKIND?" localSheetId="5">#REF!</definedName>
    <definedName name="XDO_?SVCKIND?" localSheetId="6">#REF!</definedName>
    <definedName name="XDO_?SVCKIND?" localSheetId="8">#REF!</definedName>
    <definedName name="XDO_?SVCKIND?" localSheetId="7">#REF!</definedName>
    <definedName name="XDO_?SVCKIND?">#REF!</definedName>
    <definedName name="XDO_?SVCPAID?" localSheetId="5">#REF!</definedName>
    <definedName name="XDO_?SVCPAID?" localSheetId="6">#REF!</definedName>
    <definedName name="XDO_?SVCPAID?" localSheetId="8">#REF!</definedName>
    <definedName name="XDO_?SVCPAID?" localSheetId="7">#REF!</definedName>
    <definedName name="XDO_?SVCPAID?">#REF!</definedName>
    <definedName name="XDO_?VOLIND_NAME?" localSheetId="5">#REF!</definedName>
    <definedName name="XDO_?VOLIND_NAME?" localSheetId="6">#REF!</definedName>
    <definedName name="XDO_?VOLIND_NAME?" localSheetId="8">#REF!</definedName>
    <definedName name="XDO_?VOLIND_NAME?" localSheetId="7">#REF!</definedName>
    <definedName name="XDO_?VOLIND_NAME?">#REF!</definedName>
    <definedName name="XDO_GROUP_?HEADER?" localSheetId="5">#REF!</definedName>
    <definedName name="XDO_GROUP_?HEADER?" localSheetId="6">#REF!</definedName>
    <definedName name="XDO_GROUP_?HEADER?" localSheetId="8">#REF!</definedName>
    <definedName name="XDO_GROUP_?HEADER?" localSheetId="7">#REF!</definedName>
    <definedName name="XDO_GROUP_?HEADER?">#REF!</definedName>
    <definedName name="XDO_GROUP_?SERVICE_LIST?" localSheetId="5">#REF!</definedName>
    <definedName name="XDO_GROUP_?SERVICE_LIST?" localSheetId="6">#REF!</definedName>
    <definedName name="XDO_GROUP_?SERVICE_LIST?" localSheetId="8">#REF!</definedName>
    <definedName name="XDO_GROUP_?SERVICE_LIST?" localSheetId="7">#REF!</definedName>
    <definedName name="XDO_GROUP_?SERVICE_LIST?">#REF!</definedName>
    <definedName name="а" localSheetId="5">#REF!</definedName>
    <definedName name="а" localSheetId="6">#REF!</definedName>
    <definedName name="а" localSheetId="8">#REF!</definedName>
    <definedName name="а" localSheetId="7">#REF!</definedName>
    <definedName name="а">#REF!</definedName>
    <definedName name="А1" localSheetId="11">#REF!</definedName>
    <definedName name="А1" localSheetId="17">#REF!</definedName>
    <definedName name="А1" localSheetId="23">#REF!</definedName>
    <definedName name="А1" localSheetId="9">#REF!</definedName>
    <definedName name="А1" localSheetId="15">#REF!</definedName>
    <definedName name="А1" localSheetId="21">#REF!</definedName>
    <definedName name="А1" localSheetId="2">#REF!</definedName>
    <definedName name="А1" localSheetId="12">#REF!</definedName>
    <definedName name="А1" localSheetId="18">#REF!</definedName>
    <definedName name="А1" localSheetId="5">#REF!</definedName>
    <definedName name="А1" localSheetId="6">#REF!</definedName>
    <definedName name="А1" localSheetId="8">#REF!</definedName>
    <definedName name="А1" localSheetId="7">#REF!</definedName>
    <definedName name="А1" localSheetId="3">#REF!</definedName>
    <definedName name="А1" localSheetId="13">#REF!</definedName>
    <definedName name="А1" localSheetId="19">#REF!</definedName>
    <definedName name="А1" localSheetId="1">#REF!</definedName>
    <definedName name="А1" localSheetId="0">#REF!</definedName>
    <definedName name="А1" localSheetId="14">#REF!</definedName>
    <definedName name="А1" localSheetId="20">#REF!</definedName>
    <definedName name="А1" localSheetId="10">#REF!</definedName>
    <definedName name="А1" localSheetId="16">#REF!</definedName>
    <definedName name="А1" localSheetId="22">#REF!</definedName>
    <definedName name="А1">#REF!</definedName>
    <definedName name="ааа" localSheetId="5">#REF!</definedName>
    <definedName name="ааа" localSheetId="6">#REF!</definedName>
    <definedName name="ааа" localSheetId="8">#REF!</definedName>
    <definedName name="ааа" localSheetId="7">#REF!</definedName>
    <definedName name="ааа">#REF!</definedName>
    <definedName name="ааа_14" localSheetId="5">#REF!</definedName>
    <definedName name="ааа_14" localSheetId="6">#REF!</definedName>
    <definedName name="ааа_14" localSheetId="8">#REF!</definedName>
    <definedName name="ааа_14" localSheetId="7">#REF!</definedName>
    <definedName name="ааа_14">#REF!</definedName>
    <definedName name="АнМ" localSheetId="5">'[5]Гр5(о)'!#REF!</definedName>
    <definedName name="АнМ" localSheetId="6">'[5]Гр5(о)'!#REF!</definedName>
    <definedName name="АнМ" localSheetId="8">'[5]Гр5(о)'!#REF!</definedName>
    <definedName name="АнМ" localSheetId="7">'[5]Гр5(о)'!#REF!</definedName>
    <definedName name="АнМ">'[5]Гр5(о)'!#REF!</definedName>
    <definedName name="АнМ_14" localSheetId="5">'[5]Гр5(о)'!#REF!</definedName>
    <definedName name="АнМ_14" localSheetId="6">'[5]Гр5(о)'!#REF!</definedName>
    <definedName name="АнМ_14" localSheetId="8">'[5]Гр5(о)'!#REF!</definedName>
    <definedName name="АнМ_14" localSheetId="7">'[5]Гр5(о)'!#REF!</definedName>
    <definedName name="АнМ_14">'[5]Гр5(о)'!#REF!</definedName>
    <definedName name="апоыпао" localSheetId="5">#REF!</definedName>
    <definedName name="апоыпао" localSheetId="6">#REF!</definedName>
    <definedName name="апоыпао" localSheetId="8">#REF!</definedName>
    <definedName name="апоыпао" localSheetId="7">#REF!</definedName>
    <definedName name="апоыпао">#REF!</definedName>
    <definedName name="афраврр" localSheetId="5">'[4]Гр5(о)'!#REF!</definedName>
    <definedName name="афраврр" localSheetId="6">'[4]Гр5(о)'!#REF!</definedName>
    <definedName name="афраврр" localSheetId="8">'[4]Гр5(о)'!#REF!</definedName>
    <definedName name="афраврр" localSheetId="7">'[4]Гр5(о)'!#REF!</definedName>
    <definedName name="афраврр">'[4]Гр5(о)'!#REF!</definedName>
    <definedName name="вв" localSheetId="5">[6]ПРОГНОЗ_1!#REF!</definedName>
    <definedName name="вв" localSheetId="6">[6]ПРОГНОЗ_1!#REF!</definedName>
    <definedName name="вв" localSheetId="8">[6]ПРОГНОЗ_1!#REF!</definedName>
    <definedName name="вв" localSheetId="7">[6]ПРОГНОЗ_1!#REF!</definedName>
    <definedName name="вв">[6]ПРОГНОЗ_1!#REF!</definedName>
    <definedName name="вв_14" localSheetId="5">[6]ПРОГНОЗ_1!#REF!</definedName>
    <definedName name="вв_14" localSheetId="6">[6]ПРОГНОЗ_1!#REF!</definedName>
    <definedName name="вв_14" localSheetId="8">[6]ПРОГНОЗ_1!#REF!</definedName>
    <definedName name="вв_14" localSheetId="7">[6]ПРОГНОЗ_1!#REF!</definedName>
    <definedName name="вв_14">[6]ПРОГНОЗ_1!#REF!</definedName>
    <definedName name="влол" localSheetId="5">#REF!</definedName>
    <definedName name="влол" localSheetId="6">#REF!</definedName>
    <definedName name="влол" localSheetId="8">#REF!</definedName>
    <definedName name="влол" localSheetId="7">#REF!</definedName>
    <definedName name="влол">#REF!</definedName>
    <definedName name="внг" localSheetId="5">#REF!</definedName>
    <definedName name="внг" localSheetId="6">#REF!</definedName>
    <definedName name="внг" localSheetId="8">#REF!</definedName>
    <definedName name="внг" localSheetId="7">#REF!</definedName>
    <definedName name="внг">#REF!</definedName>
    <definedName name="вр" localSheetId="5">#REF!</definedName>
    <definedName name="вр" localSheetId="6">#REF!</definedName>
    <definedName name="вр" localSheetId="8">#REF!</definedName>
    <definedName name="вр" localSheetId="7">#REF!</definedName>
    <definedName name="вр">#REF!</definedName>
    <definedName name="ВСХ" localSheetId="11">#REF!</definedName>
    <definedName name="ВСХ" localSheetId="17">#REF!</definedName>
    <definedName name="ВСХ" localSheetId="23">#REF!</definedName>
    <definedName name="ВСХ" localSheetId="9">#REF!</definedName>
    <definedName name="ВСХ" localSheetId="15">#REF!</definedName>
    <definedName name="ВСХ" localSheetId="21">#REF!</definedName>
    <definedName name="ВСХ" localSheetId="2">#REF!</definedName>
    <definedName name="ВСХ" localSheetId="12">#REF!</definedName>
    <definedName name="ВСХ" localSheetId="18">#REF!</definedName>
    <definedName name="ВСХ" localSheetId="5">#REF!</definedName>
    <definedName name="ВСХ" localSheetId="6">#REF!</definedName>
    <definedName name="ВСХ" localSheetId="8">#REF!</definedName>
    <definedName name="ВСХ" localSheetId="7">#REF!</definedName>
    <definedName name="ВСХ" localSheetId="3">#REF!</definedName>
    <definedName name="ВСХ" localSheetId="13">#REF!</definedName>
    <definedName name="ВСХ" localSheetId="19">#REF!</definedName>
    <definedName name="ВСХ" localSheetId="1">#REF!</definedName>
    <definedName name="ВСХ" localSheetId="0">#REF!</definedName>
    <definedName name="ВСХ" localSheetId="14">#REF!</definedName>
    <definedName name="ВСХ" localSheetId="20">#REF!</definedName>
    <definedName name="ВСХ" localSheetId="10">#REF!</definedName>
    <definedName name="ВСХ" localSheetId="16">#REF!</definedName>
    <definedName name="ВСХ" localSheetId="22">#REF!</definedName>
    <definedName name="ВСХ">#REF!</definedName>
    <definedName name="График">"Диагр. 4"</definedName>
    <definedName name="_xlnm.Print_Titles" localSheetId="9">'ГЦК+Энергия 2020'!$5:$7</definedName>
    <definedName name="_xlnm.Print_Titles" localSheetId="15">'ГЦК+Энергия 2021'!$5:$7</definedName>
    <definedName name="_xlnm.Print_Titles" localSheetId="21">'ГЦК+Энергия 2022'!$5:$7</definedName>
    <definedName name="_xlnm.Print_Titles" localSheetId="4">'раздел 1 (2021)'!$A:$C,'раздел 1 (2021)'!$26:$31</definedName>
    <definedName name="_xlnm.Print_Titles" localSheetId="5">'раздел 1 (2022)'!$A:$C,'раздел 1 (2022)'!$10:$15</definedName>
    <definedName name="_xlnm.Print_Titles" localSheetId="6">'раздел 1 (2023)'!$A:$C,'раздел 1 (2023)'!$10:$15</definedName>
    <definedName name="_xlnm.Print_Titles" localSheetId="8">'раздел 1( за пред.)'!$A:$C,'раздел 1( за пред.)'!$10:$15</definedName>
    <definedName name="_xlnm.Print_Titles" localSheetId="7">'раздел 2 '!$3:$6</definedName>
    <definedName name="кат" localSheetId="5">#REF!</definedName>
    <definedName name="кат" localSheetId="6">#REF!</definedName>
    <definedName name="кат" localSheetId="8">#REF!</definedName>
    <definedName name="кат" localSheetId="7">#REF!</definedName>
    <definedName name="кат">#REF!</definedName>
    <definedName name="кат_14" localSheetId="5">#REF!</definedName>
    <definedName name="кат_14" localSheetId="6">#REF!</definedName>
    <definedName name="кат_14" localSheetId="8">#REF!</definedName>
    <definedName name="кат_14" localSheetId="7">#REF!</definedName>
    <definedName name="кат_14">#REF!</definedName>
    <definedName name="КВ" localSheetId="11">#REF!</definedName>
    <definedName name="КВ" localSheetId="17">#REF!</definedName>
    <definedName name="КВ" localSheetId="23">#REF!</definedName>
    <definedName name="КВ" localSheetId="9">#REF!</definedName>
    <definedName name="КВ" localSheetId="15">#REF!</definedName>
    <definedName name="КВ" localSheetId="21">#REF!</definedName>
    <definedName name="КВ" localSheetId="2">#REF!</definedName>
    <definedName name="КВ" localSheetId="12">#REF!</definedName>
    <definedName name="КВ" localSheetId="18">#REF!</definedName>
    <definedName name="КВ" localSheetId="5">#REF!</definedName>
    <definedName name="КВ" localSheetId="6">#REF!</definedName>
    <definedName name="КВ" localSheetId="8">#REF!</definedName>
    <definedName name="КВ" localSheetId="7">#REF!</definedName>
    <definedName name="КВ" localSheetId="3">#REF!</definedName>
    <definedName name="КВ" localSheetId="13">#REF!</definedName>
    <definedName name="КВ" localSheetId="19">#REF!</definedName>
    <definedName name="КВ" localSheetId="1">#REF!</definedName>
    <definedName name="КВ" localSheetId="0">#REF!</definedName>
    <definedName name="КВ" localSheetId="14">#REF!</definedName>
    <definedName name="КВ" localSheetId="20">#REF!</definedName>
    <definedName name="КВ" localSheetId="10">#REF!</definedName>
    <definedName name="КВ" localSheetId="16">#REF!</definedName>
    <definedName name="КВ" localSheetId="22">#REF!</definedName>
    <definedName name="КВ">#REF!</definedName>
    <definedName name="квр244" localSheetId="7">#REF!</definedName>
    <definedName name="квр244">#REF!</definedName>
    <definedName name="Код_110100" localSheetId="11">#REF!</definedName>
    <definedName name="Код_110100" localSheetId="17">#REF!</definedName>
    <definedName name="Код_110100" localSheetId="23">#REF!</definedName>
    <definedName name="Код_110100" localSheetId="9">#REF!</definedName>
    <definedName name="Код_110100" localSheetId="15">#REF!</definedName>
    <definedName name="Код_110100" localSheetId="21">#REF!</definedName>
    <definedName name="Код_110100" localSheetId="2">#REF!</definedName>
    <definedName name="Код_110100" localSheetId="12">#REF!</definedName>
    <definedName name="Код_110100" localSheetId="18">#REF!</definedName>
    <definedName name="Код_110100" localSheetId="5">#REF!</definedName>
    <definedName name="Код_110100" localSheetId="6">#REF!</definedName>
    <definedName name="Код_110100" localSheetId="8">#REF!</definedName>
    <definedName name="Код_110100" localSheetId="7">#REF!</definedName>
    <definedName name="Код_110100" localSheetId="3">#REF!</definedName>
    <definedName name="Код_110100" localSheetId="13">#REF!</definedName>
    <definedName name="Код_110100" localSheetId="19">#REF!</definedName>
    <definedName name="Код_110100" localSheetId="1">#REF!</definedName>
    <definedName name="Код_110100" localSheetId="0">#REF!</definedName>
    <definedName name="Код_110100" localSheetId="14">#REF!</definedName>
    <definedName name="Код_110100" localSheetId="20">#REF!</definedName>
    <definedName name="Код_110100" localSheetId="10">#REF!</definedName>
    <definedName name="Код_110100" localSheetId="16">#REF!</definedName>
    <definedName name="Код_110100" localSheetId="22">#REF!</definedName>
    <definedName name="Код_110100">#REF!</definedName>
    <definedName name="Код_110200" localSheetId="11">#REF!</definedName>
    <definedName name="Код_110200" localSheetId="17">#REF!</definedName>
    <definedName name="Код_110200" localSheetId="23">#REF!</definedName>
    <definedName name="Код_110200" localSheetId="9">#REF!</definedName>
    <definedName name="Код_110200" localSheetId="15">#REF!</definedName>
    <definedName name="Код_110200" localSheetId="21">#REF!</definedName>
    <definedName name="Код_110200" localSheetId="2">#REF!</definedName>
    <definedName name="Код_110200" localSheetId="12">#REF!</definedName>
    <definedName name="Код_110200" localSheetId="18">#REF!</definedName>
    <definedName name="Код_110200" localSheetId="5">#REF!</definedName>
    <definedName name="Код_110200" localSheetId="6">#REF!</definedName>
    <definedName name="Код_110200" localSheetId="8">#REF!</definedName>
    <definedName name="Код_110200" localSheetId="7">#REF!</definedName>
    <definedName name="Код_110200" localSheetId="3">#REF!</definedName>
    <definedName name="Код_110200" localSheetId="13">#REF!</definedName>
    <definedName name="Код_110200" localSheetId="19">#REF!</definedName>
    <definedName name="Код_110200" localSheetId="1">#REF!</definedName>
    <definedName name="Код_110200" localSheetId="0">#REF!</definedName>
    <definedName name="Код_110200" localSheetId="14">#REF!</definedName>
    <definedName name="Код_110200" localSheetId="20">#REF!</definedName>
    <definedName name="Код_110200" localSheetId="10">#REF!</definedName>
    <definedName name="Код_110200" localSheetId="16">#REF!</definedName>
    <definedName name="Код_110200" localSheetId="22">#REF!</definedName>
    <definedName name="Код_110200">#REF!</definedName>
    <definedName name="Код_110500" localSheetId="11">#REF!</definedName>
    <definedName name="Код_110500" localSheetId="17">#REF!</definedName>
    <definedName name="Код_110500" localSheetId="23">#REF!</definedName>
    <definedName name="Код_110500" localSheetId="9">#REF!</definedName>
    <definedName name="Код_110500" localSheetId="15">#REF!</definedName>
    <definedName name="Код_110500" localSheetId="21">#REF!</definedName>
    <definedName name="Код_110500" localSheetId="2">#REF!</definedName>
    <definedName name="Код_110500" localSheetId="12">#REF!</definedName>
    <definedName name="Код_110500" localSheetId="18">#REF!</definedName>
    <definedName name="Код_110500" localSheetId="5">#REF!</definedName>
    <definedName name="Код_110500" localSheetId="6">#REF!</definedName>
    <definedName name="Код_110500" localSheetId="8">#REF!</definedName>
    <definedName name="Код_110500" localSheetId="7">#REF!</definedName>
    <definedName name="Код_110500" localSheetId="3">#REF!</definedName>
    <definedName name="Код_110500" localSheetId="13">#REF!</definedName>
    <definedName name="Код_110500" localSheetId="19">#REF!</definedName>
    <definedName name="Код_110500" localSheetId="1">#REF!</definedName>
    <definedName name="Код_110500" localSheetId="0">#REF!</definedName>
    <definedName name="Код_110500" localSheetId="14">#REF!</definedName>
    <definedName name="Код_110500" localSheetId="20">#REF!</definedName>
    <definedName name="Код_110500" localSheetId="10">#REF!</definedName>
    <definedName name="Код_110500" localSheetId="16">#REF!</definedName>
    <definedName name="Код_110500" localSheetId="22">#REF!</definedName>
    <definedName name="Код_110500">#REF!</definedName>
    <definedName name="М1" localSheetId="5">[7]ПРОГНОЗ_1!#REF!</definedName>
    <definedName name="М1" localSheetId="6">[7]ПРОГНОЗ_1!#REF!</definedName>
    <definedName name="М1" localSheetId="8">[7]ПРОГНОЗ_1!#REF!</definedName>
    <definedName name="М1" localSheetId="7">[7]ПРОГНОЗ_1!#REF!</definedName>
    <definedName name="М1">[7]ПРОГНОЗ_1!#REF!</definedName>
    <definedName name="М1_14" localSheetId="5">[7]ПРОГНОЗ_1!#REF!</definedName>
    <definedName name="М1_14" localSheetId="6">[7]ПРОГНОЗ_1!#REF!</definedName>
    <definedName name="М1_14" localSheetId="8">[7]ПРОГНОЗ_1!#REF!</definedName>
    <definedName name="М1_14" localSheetId="7">[7]ПРОГНОЗ_1!#REF!</definedName>
    <definedName name="М1_14">[7]ПРОГНОЗ_1!#REF!</definedName>
    <definedName name="Мониторинг1" localSheetId="5">'[8]Гр5(о)'!#REF!</definedName>
    <definedName name="Мониторинг1" localSheetId="6">'[8]Гр5(о)'!#REF!</definedName>
    <definedName name="Мониторинг1" localSheetId="8">'[8]Гр5(о)'!#REF!</definedName>
    <definedName name="Мониторинг1" localSheetId="7">'[8]Гр5(о)'!#REF!</definedName>
    <definedName name="Мониторинг1">'[8]Гр5(о)'!#REF!</definedName>
    <definedName name="Мониторинг1_14" localSheetId="5">'[8]Гр5(о)'!#REF!</definedName>
    <definedName name="Мониторинг1_14" localSheetId="6">'[8]Гр5(о)'!#REF!</definedName>
    <definedName name="Мониторинг1_14" localSheetId="8">'[8]Гр5(о)'!#REF!</definedName>
    <definedName name="Мониторинг1_14" localSheetId="7">'[8]Гр5(о)'!#REF!</definedName>
    <definedName name="Мониторинг1_14">'[8]Гр5(о)'!#REF!</definedName>
    <definedName name="нговеошл" localSheetId="5">#REF!</definedName>
    <definedName name="нговеошл" localSheetId="6">#REF!</definedName>
    <definedName name="нговеошл" localSheetId="8">#REF!</definedName>
    <definedName name="нговеошл" localSheetId="7">#REF!</definedName>
    <definedName name="нговеошл">#REF!</definedName>
    <definedName name="нег" localSheetId="5">#REF!</definedName>
    <definedName name="нег" localSheetId="6">#REF!</definedName>
    <definedName name="нег" localSheetId="8">#REF!</definedName>
    <definedName name="нег" localSheetId="7">#REF!</definedName>
    <definedName name="нег">#REF!</definedName>
    <definedName name="нкшывк" localSheetId="5">#REF!</definedName>
    <definedName name="нкшывк" localSheetId="6">#REF!</definedName>
    <definedName name="нкшывк" localSheetId="8">#REF!</definedName>
    <definedName name="нкшывк" localSheetId="7">#REF!</definedName>
    <definedName name="нкшывк">#REF!</definedName>
    <definedName name="_xlnm.Print_Area" localSheetId="11">'Высоцкий 2020'!$A$1:$AH$42</definedName>
    <definedName name="_xlnm.Print_Area" localSheetId="17">'Высоцкий 2021'!$A$1:$AH$42</definedName>
    <definedName name="_xlnm.Print_Area" localSheetId="23">'Высоцкий 2022'!$A$1:$AH$42</definedName>
    <definedName name="_xlnm.Print_Area" localSheetId="9">'ГЦК+Энергия 2020'!$A$1:$AH$62</definedName>
    <definedName name="_xlnm.Print_Area" localSheetId="15">'ГЦК+Энергия 2021'!$A$1:$AH$62</definedName>
    <definedName name="_xlnm.Print_Area" localSheetId="21">'ГЦК+Энергия 2022'!$A$1:$AH$62</definedName>
    <definedName name="_xlnm.Print_Area" localSheetId="2">'музей 2020'!$A$1:$AH$40</definedName>
    <definedName name="_xlnm.Print_Area" localSheetId="12">'музей 2021'!$A$1:$AH$40</definedName>
    <definedName name="_xlnm.Print_Area" localSheetId="18">'музей 2022'!$A$1:$AH$40</definedName>
    <definedName name="_xlnm.Print_Area" localSheetId="4">'раздел 1 (2021)'!$A$1:$N$129</definedName>
    <definedName name="_xlnm.Print_Area" localSheetId="5">'раздел 1 (2022)'!$A$1:$N$97</definedName>
    <definedName name="_xlnm.Print_Area" localSheetId="6">'раздел 1 (2023)'!$A$1:$N$97</definedName>
    <definedName name="_xlnm.Print_Area" localSheetId="8">'раздел 1( за пред.)'!$A$1:$M$97</definedName>
    <definedName name="_xlnm.Print_Area" localSheetId="7">'раздел 2 '!$A$1:$FR$69</definedName>
    <definedName name="_xlnm.Print_Area" localSheetId="3">'Родина 2020'!$A$1:$AH$35</definedName>
    <definedName name="_xlnm.Print_Area" localSheetId="13">'Родина 2021'!$A$1:$AH$35</definedName>
    <definedName name="_xlnm.Print_Area" localSheetId="19">'Родина 2022'!$A$1:$AH$35</definedName>
    <definedName name="_xlnm.Print_Area" localSheetId="1">СВОД!$A$1:$N$21</definedName>
    <definedName name="_xlnm.Print_Area" localSheetId="0">'СВОД (2)'!$A$1:$W$21</definedName>
    <definedName name="_xlnm.Print_Area" localSheetId="14">'ЦБС 2021'!$A$1:$AH$38</definedName>
    <definedName name="_xlnm.Print_Area" localSheetId="20">'ЦБС 2022'!$A$1:$AH$38</definedName>
    <definedName name="_xlnm.Print_Area" localSheetId="10">'Юбилейный 2020'!$A$1:$AH$43</definedName>
    <definedName name="_xlnm.Print_Area" localSheetId="16">'Юбилейный 2021'!$A$1:$AH$43</definedName>
    <definedName name="_xlnm.Print_Area" localSheetId="22">'Юбилейный 2022'!$A$1:$AH$43</definedName>
    <definedName name="оь" localSheetId="5">#REF!</definedName>
    <definedName name="оь" localSheetId="6">#REF!</definedName>
    <definedName name="оь" localSheetId="8">#REF!</definedName>
    <definedName name="оь" localSheetId="7">#REF!</definedName>
    <definedName name="оь">#REF!</definedName>
    <definedName name="п" localSheetId="5">#REF!</definedName>
    <definedName name="п" localSheetId="6">#REF!</definedName>
    <definedName name="п" localSheetId="8">#REF!</definedName>
    <definedName name="п" localSheetId="7">#REF!</definedName>
    <definedName name="п">#REF!</definedName>
    <definedName name="панрти" localSheetId="5">[6]ПРОГНОЗ_1!#REF!</definedName>
    <definedName name="панрти" localSheetId="6">[6]ПРОГНОЗ_1!#REF!</definedName>
    <definedName name="панрти" localSheetId="8">[6]ПРОГНОЗ_1!#REF!</definedName>
    <definedName name="панрти" localSheetId="7">[6]ПРОГНОЗ_1!#REF!</definedName>
    <definedName name="панрти">[6]ПРОГНОЗ_1!#REF!</definedName>
    <definedName name="паыоаыпо" localSheetId="5">#REF!</definedName>
    <definedName name="паыоаыпо" localSheetId="6">#REF!</definedName>
    <definedName name="паыоаыпо" localSheetId="8">#REF!</definedName>
    <definedName name="паыоаыпо" localSheetId="7">#REF!</definedName>
    <definedName name="паыоаыпо">#REF!</definedName>
    <definedName name="Пгород" localSheetId="5">#REF!</definedName>
    <definedName name="Пгород" localSheetId="6">#REF!</definedName>
    <definedName name="Пгород" localSheetId="8">#REF!</definedName>
    <definedName name="Пгород" localSheetId="7">#REF!</definedName>
    <definedName name="Пгород">#REF!</definedName>
    <definedName name="ПОКАЗАТЕЛИ_ДОЛГОСР.ПРОГНОЗА" localSheetId="5">'[9]2002(v2)'!#REF!</definedName>
    <definedName name="ПОКАЗАТЕЛИ_ДОЛГОСР.ПРОГНОЗА" localSheetId="6">'[9]2002(v2)'!#REF!</definedName>
    <definedName name="ПОКАЗАТЕЛИ_ДОЛГОСР.ПРОГНОЗА" localSheetId="8">'[9]2002(v2)'!#REF!</definedName>
    <definedName name="ПОКАЗАТЕЛИ_ДОЛГОСР.ПРОГНОЗА" localSheetId="7">'[9]2002(v2)'!#REF!</definedName>
    <definedName name="ПОКАЗАТЕЛИ_ДОЛГОСР.ПРОГНОЗА">'[9]2002(v2)'!#REF!</definedName>
    <definedName name="ПОКАЗАТЕЛИ_ДОЛГОСР.ПРОГНОЗА_14" localSheetId="5">'[9]2002(v2)'!#REF!</definedName>
    <definedName name="ПОКАЗАТЕЛИ_ДОЛГОСР.ПРОГНОЗА_14" localSheetId="6">'[9]2002(v2)'!#REF!</definedName>
    <definedName name="ПОКАЗАТЕЛИ_ДОЛГОСР.ПРОГНОЗА_14" localSheetId="8">'[9]2002(v2)'!#REF!</definedName>
    <definedName name="ПОКАЗАТЕЛИ_ДОЛГОСР.ПРОГНОЗА_14" localSheetId="7">'[9]2002(v2)'!#REF!</definedName>
    <definedName name="ПОКАЗАТЕЛИ_ДОЛГОСР.ПРОГНОЗА_14">'[9]2002(v2)'!#REF!</definedName>
    <definedName name="пппп" localSheetId="5">'[10]2002(v1)'!#REF!</definedName>
    <definedName name="пппп" localSheetId="6">'[10]2002(v1)'!#REF!</definedName>
    <definedName name="пппп" localSheetId="8">'[10]2002(v1)'!#REF!</definedName>
    <definedName name="пппп" localSheetId="7">'[10]2002(v1)'!#REF!</definedName>
    <definedName name="пппп">'[10]2002(v1)'!#REF!</definedName>
    <definedName name="пппп_14" localSheetId="5">'[10]2002(v1)'!#REF!</definedName>
    <definedName name="пппп_14" localSheetId="6">'[10]2002(v1)'!#REF!</definedName>
    <definedName name="пппп_14" localSheetId="8">'[10]2002(v1)'!#REF!</definedName>
    <definedName name="пппп_14" localSheetId="7">'[10]2002(v1)'!#REF!</definedName>
    <definedName name="пппп_14">'[10]2002(v1)'!#REF!</definedName>
    <definedName name="прво" localSheetId="5">#REF!</definedName>
    <definedName name="прво" localSheetId="6">#REF!</definedName>
    <definedName name="прво" localSheetId="8">#REF!</definedName>
    <definedName name="прво" localSheetId="7">#REF!</definedName>
    <definedName name="прво">#REF!</definedName>
    <definedName name="про" localSheetId="5">#REF!</definedName>
    <definedName name="про" localSheetId="6">#REF!</definedName>
    <definedName name="про" localSheetId="8">#REF!</definedName>
    <definedName name="про" localSheetId="7">#REF!</definedName>
    <definedName name="про">#REF!</definedName>
    <definedName name="Прогноз97" localSheetId="5">[11]ПРОГНОЗ_1!#REF!</definedName>
    <definedName name="Прогноз97" localSheetId="6">[11]ПРОГНОЗ_1!#REF!</definedName>
    <definedName name="Прогноз97" localSheetId="8">[11]ПРОГНОЗ_1!#REF!</definedName>
    <definedName name="Прогноз97" localSheetId="7">[11]ПРОГНОЗ_1!#REF!</definedName>
    <definedName name="Прогноз97">[11]ПРОГНОЗ_1!#REF!</definedName>
    <definedName name="Прогноз97_14" localSheetId="5">[11]ПРОГНОЗ_1!#REF!</definedName>
    <definedName name="Прогноз97_14" localSheetId="6">[11]ПРОГНОЗ_1!#REF!</definedName>
    <definedName name="Прогноз97_14" localSheetId="8">[11]ПРОГНОЗ_1!#REF!</definedName>
    <definedName name="Прогноз97_14" localSheetId="7">[11]ПРОГНОЗ_1!#REF!</definedName>
    <definedName name="Прогноз97_14">[11]ПРОГНОЗ_1!#REF!</definedName>
    <definedName name="раолдраод" localSheetId="5">#REF!</definedName>
    <definedName name="раолдраод" localSheetId="6">#REF!</definedName>
    <definedName name="раолдраод" localSheetId="8">#REF!</definedName>
    <definedName name="раолдраод" localSheetId="7">#REF!</definedName>
    <definedName name="раолдраод">#REF!</definedName>
    <definedName name="уцкецукецк" localSheetId="5">'[10]2002(v1)'!#REF!</definedName>
    <definedName name="уцкецукецк" localSheetId="6">'[10]2002(v1)'!#REF!</definedName>
    <definedName name="уцкецукецк" localSheetId="8">'[10]2002(v1)'!#REF!</definedName>
    <definedName name="уцкецукецк" localSheetId="7">'[10]2002(v1)'!#REF!</definedName>
    <definedName name="уцкецукецк">'[10]2002(v1)'!#REF!</definedName>
    <definedName name="Ф.И.О." localSheetId="5">#REF!</definedName>
    <definedName name="Ф.И.О." localSheetId="6">#REF!</definedName>
    <definedName name="Ф.И.О." localSheetId="8">#REF!</definedName>
    <definedName name="Ф.И.О." localSheetId="7">#REF!</definedName>
    <definedName name="Ф.И.О.">#REF!</definedName>
    <definedName name="фварварффврвр" localSheetId="5">'[5]Гр5(о)'!#REF!</definedName>
    <definedName name="фварварффврвр" localSheetId="6">'[5]Гр5(о)'!#REF!</definedName>
    <definedName name="фварварффврвр" localSheetId="8">'[5]Гр5(о)'!#REF!</definedName>
    <definedName name="фварварффврвр" localSheetId="7">'[5]Гр5(о)'!#REF!</definedName>
    <definedName name="фварварффврвр">'[5]Гр5(о)'!#REF!</definedName>
    <definedName name="фварфварфр" localSheetId="5">#REF!</definedName>
    <definedName name="фварфварфр" localSheetId="6">#REF!</definedName>
    <definedName name="фварфварфр" localSheetId="8">#REF!</definedName>
    <definedName name="фварфварфр" localSheetId="7">#REF!</definedName>
    <definedName name="фварфварфр">#REF!</definedName>
    <definedName name="фврафврварфвра" localSheetId="5">[6]ПРОГНОЗ_1!#REF!</definedName>
    <definedName name="фврафврварфвра" localSheetId="6">[6]ПРОГНОЗ_1!#REF!</definedName>
    <definedName name="фврафврварфвра" localSheetId="8">[6]ПРОГНОЗ_1!#REF!</definedName>
    <definedName name="фврафврварфвра" localSheetId="7">[6]ПРОГНОЗ_1!#REF!</definedName>
    <definedName name="фврафврварфвра">[6]ПРОГНОЗ_1!#REF!</definedName>
    <definedName name="ФЗП" localSheetId="11">#REF!</definedName>
    <definedName name="ФЗП" localSheetId="17">#REF!</definedName>
    <definedName name="ФЗП" localSheetId="23">#REF!</definedName>
    <definedName name="ФЗП" localSheetId="9">#REF!</definedName>
    <definedName name="ФЗП" localSheetId="15">#REF!</definedName>
    <definedName name="ФЗП" localSheetId="21">#REF!</definedName>
    <definedName name="ФЗП" localSheetId="2">#REF!</definedName>
    <definedName name="ФЗП" localSheetId="12">#REF!</definedName>
    <definedName name="ФЗП" localSheetId="18">#REF!</definedName>
    <definedName name="ФЗП" localSheetId="5">#REF!</definedName>
    <definedName name="ФЗП" localSheetId="6">#REF!</definedName>
    <definedName name="ФЗП" localSheetId="8">#REF!</definedName>
    <definedName name="ФЗП" localSheetId="7">#REF!</definedName>
    <definedName name="ФЗП" localSheetId="3">#REF!</definedName>
    <definedName name="ФЗП" localSheetId="13">#REF!</definedName>
    <definedName name="ФЗП" localSheetId="19">#REF!</definedName>
    <definedName name="ФЗП" localSheetId="1">#REF!</definedName>
    <definedName name="ФЗП" localSheetId="0">#REF!</definedName>
    <definedName name="ФЗП" localSheetId="14">#REF!</definedName>
    <definedName name="ФЗП" localSheetId="20">#REF!</definedName>
    <definedName name="ФЗП" localSheetId="10">#REF!</definedName>
    <definedName name="ФЗП" localSheetId="16">#REF!</definedName>
    <definedName name="ФЗП" localSheetId="22">#REF!</definedName>
    <definedName name="ФЗП">#REF!</definedName>
    <definedName name="ФЗПсп" localSheetId="11">#REF!</definedName>
    <definedName name="ФЗПсп" localSheetId="17">#REF!</definedName>
    <definedName name="ФЗПсп" localSheetId="23">#REF!</definedName>
    <definedName name="ФЗПсп" localSheetId="9">#REF!</definedName>
    <definedName name="ФЗПсп" localSheetId="15">#REF!</definedName>
    <definedName name="ФЗПсп" localSheetId="21">#REF!</definedName>
    <definedName name="ФЗПсп" localSheetId="2">#REF!</definedName>
    <definedName name="ФЗПсп" localSheetId="12">#REF!</definedName>
    <definedName name="ФЗПсп" localSheetId="18">#REF!</definedName>
    <definedName name="ФЗПсп" localSheetId="5">#REF!</definedName>
    <definedName name="ФЗПсп" localSheetId="6">#REF!</definedName>
    <definedName name="ФЗПсп" localSheetId="8">#REF!</definedName>
    <definedName name="ФЗПсп" localSheetId="7">#REF!</definedName>
    <definedName name="ФЗПсп" localSheetId="3">#REF!</definedName>
    <definedName name="ФЗПсп" localSheetId="13">#REF!</definedName>
    <definedName name="ФЗПсп" localSheetId="19">#REF!</definedName>
    <definedName name="ФЗПсп" localSheetId="1">#REF!</definedName>
    <definedName name="ФЗПсп" localSheetId="0">#REF!</definedName>
    <definedName name="ФЗПсп" localSheetId="14">#REF!</definedName>
    <definedName name="ФЗПсп" localSheetId="20">#REF!</definedName>
    <definedName name="ФЗПсп" localSheetId="10">#REF!</definedName>
    <definedName name="ФЗПсп" localSheetId="16">#REF!</definedName>
    <definedName name="ФЗПсп" localSheetId="22">#REF!</definedName>
    <definedName name="ФЗПсп">#REF!</definedName>
    <definedName name="ФКВ" localSheetId="11">#REF!</definedName>
    <definedName name="ФКВ" localSheetId="17">#REF!</definedName>
    <definedName name="ФКВ" localSheetId="23">#REF!</definedName>
    <definedName name="ФКВ" localSheetId="9">#REF!</definedName>
    <definedName name="ФКВ" localSheetId="15">#REF!</definedName>
    <definedName name="ФКВ" localSheetId="21">#REF!</definedName>
    <definedName name="ФКВ" localSheetId="2">#REF!</definedName>
    <definedName name="ФКВ" localSheetId="12">#REF!</definedName>
    <definedName name="ФКВ" localSheetId="18">#REF!</definedName>
    <definedName name="ФКВ" localSheetId="5">#REF!</definedName>
    <definedName name="ФКВ" localSheetId="6">#REF!</definedName>
    <definedName name="ФКВ" localSheetId="8">#REF!</definedName>
    <definedName name="ФКВ" localSheetId="7">#REF!</definedName>
    <definedName name="ФКВ" localSheetId="3">#REF!</definedName>
    <definedName name="ФКВ" localSheetId="13">#REF!</definedName>
    <definedName name="ФКВ" localSheetId="19">#REF!</definedName>
    <definedName name="ФКВ" localSheetId="1">#REF!</definedName>
    <definedName name="ФКВ" localSheetId="0">#REF!</definedName>
    <definedName name="ФКВ" localSheetId="14">#REF!</definedName>
    <definedName name="ФКВ" localSheetId="20">#REF!</definedName>
    <definedName name="ФКВ" localSheetId="10">#REF!</definedName>
    <definedName name="ФКВ" localSheetId="16">#REF!</definedName>
    <definedName name="ФКВ" localSheetId="22">#REF!</definedName>
    <definedName name="ФКВ">#REF!</definedName>
    <definedName name="фф" localSheetId="5">'[12]Гр5(о)'!#REF!</definedName>
    <definedName name="фф" localSheetId="6">'[12]Гр5(о)'!#REF!</definedName>
    <definedName name="фф" localSheetId="8">'[12]Гр5(о)'!#REF!</definedName>
    <definedName name="фф" localSheetId="7">'[12]Гр5(о)'!#REF!</definedName>
    <definedName name="фф">'[12]Гр5(о)'!#REF!</definedName>
    <definedName name="фф_14" localSheetId="5">'[12]Гр5(о)'!#REF!</definedName>
    <definedName name="фф_14" localSheetId="6">'[12]Гр5(о)'!#REF!</definedName>
    <definedName name="фф_14" localSheetId="8">'[12]Гр5(о)'!#REF!</definedName>
    <definedName name="фф_14" localSheetId="7">'[12]Гр5(о)'!#REF!</definedName>
    <definedName name="фф_14">'[12]Гр5(о)'!#REF!</definedName>
    <definedName name="ффккуеуцкеукеуеуцке" localSheetId="5">#REF!</definedName>
    <definedName name="ффккуеуцкеукеуеуцке" localSheetId="6">#REF!</definedName>
    <definedName name="ффккуеуцкеукеуеуцке" localSheetId="8">#REF!</definedName>
    <definedName name="ффккуеуцкеукеуеуцке" localSheetId="7">#REF!</definedName>
    <definedName name="ффккуеуцкеукеуеуцке">#REF!</definedName>
    <definedName name="ффф" localSheetId="5">#REF!</definedName>
    <definedName name="ффф" localSheetId="6">#REF!</definedName>
    <definedName name="ффф" localSheetId="8">#REF!</definedName>
    <definedName name="ффф" localSheetId="7">#REF!</definedName>
    <definedName name="ффф">#REF!</definedName>
    <definedName name="ффф_14" localSheetId="5">#REF!</definedName>
    <definedName name="ффф_14" localSheetId="6">#REF!</definedName>
    <definedName name="ффф_14" localSheetId="8">#REF!</definedName>
    <definedName name="ффф_14" localSheetId="7">#REF!</definedName>
    <definedName name="ффф_14">#REF!</definedName>
    <definedName name="фяыв" localSheetId="5">#REF!</definedName>
    <definedName name="фяыв" localSheetId="6">#REF!</definedName>
    <definedName name="фяыв" localSheetId="8">#REF!</definedName>
    <definedName name="фяыв" localSheetId="7">#REF!</definedName>
    <definedName name="фяыв">#REF!</definedName>
    <definedName name="цуецуецу" localSheetId="5">#REF!</definedName>
    <definedName name="цуецуецу" localSheetId="6">#REF!</definedName>
    <definedName name="цуецуецу" localSheetId="8">#REF!</definedName>
    <definedName name="цуецуецу" localSheetId="7">#REF!</definedName>
    <definedName name="цуецуецу">#REF!</definedName>
    <definedName name="цук" localSheetId="5">'[13]2002(v2)'!#REF!</definedName>
    <definedName name="цук" localSheetId="6">'[13]2002(v2)'!#REF!</definedName>
    <definedName name="цук" localSheetId="8">'[13]2002(v2)'!#REF!</definedName>
    <definedName name="цук" localSheetId="7">'[13]2002(v2)'!#REF!</definedName>
    <definedName name="цук">'[13]2002(v2)'!#REF!</definedName>
    <definedName name="цукеукеук" localSheetId="5">[7]ПРОГНОЗ_1!#REF!</definedName>
    <definedName name="цукеукеук" localSheetId="6">[7]ПРОГНОЗ_1!#REF!</definedName>
    <definedName name="цукеукеук" localSheetId="8">[7]ПРОГНОЗ_1!#REF!</definedName>
    <definedName name="цукеукеук" localSheetId="7">[7]ПРОГНОЗ_1!#REF!</definedName>
    <definedName name="цукеукеук">[7]ПРОГНОЗ_1!#REF!</definedName>
    <definedName name="цукецку" localSheetId="5">[11]ПРОГНОЗ_1!#REF!</definedName>
    <definedName name="цукецку" localSheetId="6">[11]ПРОГНОЗ_1!#REF!</definedName>
    <definedName name="цукецку" localSheetId="8">[11]ПРОГНОЗ_1!#REF!</definedName>
    <definedName name="цукецку" localSheetId="7">[11]ПРОГНОЗ_1!#REF!</definedName>
    <definedName name="цукецку">[11]ПРОГНОЗ_1!#REF!</definedName>
    <definedName name="цукецуке" localSheetId="5">#REF!</definedName>
    <definedName name="цукецуке" localSheetId="6">#REF!</definedName>
    <definedName name="цукецуке" localSheetId="8">#REF!</definedName>
    <definedName name="цукецуке" localSheetId="7">#REF!</definedName>
    <definedName name="цукецуке">#REF!</definedName>
    <definedName name="цукецукеуце" localSheetId="5">'[8]Гр5(о)'!#REF!</definedName>
    <definedName name="цукецукеуце" localSheetId="6">'[8]Гр5(о)'!#REF!</definedName>
    <definedName name="цукецукеуце" localSheetId="8">'[8]Гр5(о)'!#REF!</definedName>
    <definedName name="цукецукеуце" localSheetId="7">'[8]Гр5(о)'!#REF!</definedName>
    <definedName name="цукецукеуце">'[8]Гр5(о)'!#REF!</definedName>
    <definedName name="цуцуе" localSheetId="5">'[3]Гр5(о)'!#REF!</definedName>
    <definedName name="цуцуе" localSheetId="6">'[3]Гр5(о)'!#REF!</definedName>
    <definedName name="цуцуе" localSheetId="8">'[3]Гр5(о)'!#REF!</definedName>
    <definedName name="цуцуе" localSheetId="7">'[3]Гр5(о)'!#REF!</definedName>
    <definedName name="цуцуе">'[3]Гр5(о)'!#REF!</definedName>
    <definedName name="чварьлврл" localSheetId="5">[2]ПРОГНОЗ_1!#REF!</definedName>
    <definedName name="чварьлврл" localSheetId="6">[2]ПРОГНОЗ_1!#REF!</definedName>
    <definedName name="чварьлврл" localSheetId="8">[2]ПРОГНОЗ_1!#REF!</definedName>
    <definedName name="чварьлврл" localSheetId="7">[2]ПРОГНОЗ_1!#REF!</definedName>
    <definedName name="чварьлврл">[2]ПРОГНОЗ_1!#REF!</definedName>
    <definedName name="Штат" localSheetId="11">#REF!</definedName>
    <definedName name="Штат" localSheetId="17">#REF!</definedName>
    <definedName name="Штат" localSheetId="23">#REF!</definedName>
    <definedName name="Штат" localSheetId="9">#REF!</definedName>
    <definedName name="Штат" localSheetId="15">#REF!</definedName>
    <definedName name="Штат" localSheetId="21">#REF!</definedName>
    <definedName name="Штат" localSheetId="2">#REF!</definedName>
    <definedName name="Штат" localSheetId="12">#REF!</definedName>
    <definedName name="Штат" localSheetId="18">#REF!</definedName>
    <definedName name="Штат" localSheetId="5">#REF!</definedName>
    <definedName name="Штат" localSheetId="6">#REF!</definedName>
    <definedName name="Штат" localSheetId="8">#REF!</definedName>
    <definedName name="Штат" localSheetId="7">#REF!</definedName>
    <definedName name="Штат" localSheetId="3">#REF!</definedName>
    <definedName name="Штат" localSheetId="13">#REF!</definedName>
    <definedName name="Штат" localSheetId="19">#REF!</definedName>
    <definedName name="Штат" localSheetId="1">#REF!</definedName>
    <definedName name="Штат" localSheetId="0">#REF!</definedName>
    <definedName name="Штат" localSheetId="14">#REF!</definedName>
    <definedName name="Штат" localSheetId="20">#REF!</definedName>
    <definedName name="Штат" localSheetId="10">#REF!</definedName>
    <definedName name="Штат" localSheetId="16">#REF!</definedName>
    <definedName name="Штат" localSheetId="22">#REF!</definedName>
    <definedName name="Штат">#REF!</definedName>
    <definedName name="ыаоапо" localSheetId="5">#REF!</definedName>
    <definedName name="ыаоапо" localSheetId="6">#REF!</definedName>
    <definedName name="ыаоапо" localSheetId="8">#REF!</definedName>
    <definedName name="ыаоапо" localSheetId="7">#REF!</definedName>
    <definedName name="ыаоапо">#REF!</definedName>
    <definedName name="ыапоапо" localSheetId="5">#REF!</definedName>
    <definedName name="ыапоапо" localSheetId="6">#REF!</definedName>
    <definedName name="ыапоапо" localSheetId="8">#REF!</definedName>
    <definedName name="ыапоапо" localSheetId="7">#REF!</definedName>
    <definedName name="ыапоапо">#REF!</definedName>
    <definedName name="ыапоыпао" localSheetId="5">#REF!</definedName>
    <definedName name="ыапоыпао" localSheetId="6">#REF!</definedName>
    <definedName name="ыапоыпао" localSheetId="8">#REF!</definedName>
    <definedName name="ыапоыпао" localSheetId="7">#REF!</definedName>
    <definedName name="ыапоыпао">#REF!</definedName>
    <definedName name="ыпаоапоы" localSheetId="5">#REF!</definedName>
    <definedName name="ыпаоапоы" localSheetId="6">#REF!</definedName>
    <definedName name="ыпаоапоы" localSheetId="8">#REF!</definedName>
    <definedName name="ыпаоапоы" localSheetId="7">#REF!</definedName>
    <definedName name="ыпаоапоы">#REF!</definedName>
    <definedName name="ыпаоыапо" localSheetId="5">[1]ПРОГНОЗ_1!#REF!</definedName>
    <definedName name="ыпаоыапо" localSheetId="6">[1]ПРОГНОЗ_1!#REF!</definedName>
    <definedName name="ыпаоыапо" localSheetId="8">[1]ПРОГНОЗ_1!#REF!</definedName>
    <definedName name="ыпаоыапо" localSheetId="7">[1]ПРОГНОЗ_1!#REF!</definedName>
    <definedName name="ыпаоыапо">[1]ПРОГНОЗ_1!#REF!</definedName>
  </definedNames>
  <calcPr calcId="191029" fullPrecision="0"/>
</workbook>
</file>

<file path=xl/calcChain.xml><?xml version="1.0" encoding="utf-8"?>
<calcChain xmlns="http://schemas.openxmlformats.org/spreadsheetml/2006/main">
  <c r="ES36" i="498" l="1"/>
  <c r="DS36" i="498"/>
  <c r="EF31" i="498"/>
  <c r="ES28" i="498"/>
  <c r="EF28" i="498"/>
  <c r="DS28" i="498"/>
  <c r="DS19" i="498"/>
  <c r="ES16" i="498"/>
  <c r="EF16" i="498"/>
  <c r="DS16" i="498"/>
  <c r="ES14" i="498"/>
  <c r="ES35" i="498" s="1"/>
  <c r="ES31" i="498" s="1"/>
  <c r="EF14" i="498"/>
  <c r="DS14" i="498"/>
  <c r="DS32" i="498" s="1"/>
  <c r="DS31" i="498" s="1"/>
  <c r="ES11" i="498"/>
  <c r="EF11" i="498"/>
  <c r="DS10" i="498"/>
  <c r="DS11" i="498" s="1"/>
  <c r="ES7" i="498"/>
  <c r="EF7" i="498"/>
  <c r="DS7" i="498" l="1"/>
  <c r="K11" i="111"/>
  <c r="Q11" i="111" s="1"/>
  <c r="W11" i="111" s="1"/>
  <c r="L16" i="111"/>
  <c r="M16" i="111"/>
  <c r="N16" i="111"/>
  <c r="R16" i="111"/>
  <c r="S16" i="111"/>
  <c r="T16" i="111"/>
  <c r="H16" i="111"/>
  <c r="E16" i="111"/>
  <c r="D15" i="111"/>
  <c r="C15" i="111"/>
  <c r="D14" i="111"/>
  <c r="C14" i="111"/>
  <c r="D13" i="111"/>
  <c r="C13" i="111"/>
  <c r="G11" i="111"/>
  <c r="G16" i="111" s="1"/>
  <c r="F11" i="111"/>
  <c r="F16" i="111" s="1"/>
  <c r="D11" i="111"/>
  <c r="D12" i="111"/>
  <c r="C12" i="111"/>
  <c r="D10" i="111"/>
  <c r="C10" i="111"/>
  <c r="AE28" i="110"/>
  <c r="AD28" i="110"/>
  <c r="AB28" i="110"/>
  <c r="AA28" i="110"/>
  <c r="Y28" i="110"/>
  <c r="X28" i="110"/>
  <c r="N28" i="110"/>
  <c r="J28" i="110"/>
  <c r="I28" i="110"/>
  <c r="D28" i="110"/>
  <c r="C28" i="110"/>
  <c r="AS27" i="110"/>
  <c r="AF27" i="110"/>
  <c r="AC27" i="110"/>
  <c r="Z27" i="110"/>
  <c r="H27" i="110"/>
  <c r="G27" i="110"/>
  <c r="E27" i="110"/>
  <c r="F27" i="110" s="1"/>
  <c r="AS26" i="110"/>
  <c r="AF26" i="110"/>
  <c r="AC26" i="110"/>
  <c r="Z26" i="110"/>
  <c r="H26" i="110"/>
  <c r="G26" i="110"/>
  <c r="E26" i="110"/>
  <c r="F26" i="110" s="1"/>
  <c r="AS25" i="110"/>
  <c r="E25" i="110"/>
  <c r="F25" i="110" s="1"/>
  <c r="AS24" i="110"/>
  <c r="E24" i="110"/>
  <c r="F24" i="110" s="1"/>
  <c r="AS23" i="110"/>
  <c r="AF23" i="110"/>
  <c r="AC23" i="110"/>
  <c r="Z23" i="110"/>
  <c r="K23" i="110"/>
  <c r="H23" i="110"/>
  <c r="G23" i="110"/>
  <c r="E23" i="110"/>
  <c r="F23" i="110" s="1"/>
  <c r="L23" i="110" s="1"/>
  <c r="AS22" i="110"/>
  <c r="AF22" i="110"/>
  <c r="AC22" i="110"/>
  <c r="Z22" i="110"/>
  <c r="E22" i="110"/>
  <c r="F22" i="110" s="1"/>
  <c r="AS21" i="110"/>
  <c r="AF21" i="110"/>
  <c r="AG21" i="110" s="1"/>
  <c r="AH21" i="110" s="1"/>
  <c r="AC21" i="110"/>
  <c r="Z21" i="110"/>
  <c r="H21" i="110"/>
  <c r="E21" i="110"/>
  <c r="F21" i="110" s="1"/>
  <c r="L21" i="110" s="1"/>
  <c r="M21" i="110" s="1"/>
  <c r="O21" i="110" s="1"/>
  <c r="P21" i="110" s="1"/>
  <c r="AS20" i="110"/>
  <c r="AF20" i="110"/>
  <c r="AC20" i="110"/>
  <c r="Z20" i="110"/>
  <c r="AG20" i="110" s="1"/>
  <c r="E20" i="110"/>
  <c r="F20" i="110" s="1"/>
  <c r="AS19" i="110"/>
  <c r="AF19" i="110"/>
  <c r="AC19" i="110"/>
  <c r="Z19" i="110"/>
  <c r="H19" i="110"/>
  <c r="E19" i="110"/>
  <c r="F19" i="110" s="1"/>
  <c r="AS18" i="110"/>
  <c r="AF18" i="110"/>
  <c r="AC18" i="110"/>
  <c r="Z18" i="110"/>
  <c r="K18" i="110"/>
  <c r="H18" i="110"/>
  <c r="E18" i="110"/>
  <c r="F18" i="110" s="1"/>
  <c r="AS17" i="110"/>
  <c r="AF17" i="110"/>
  <c r="AG17" i="110" s="1"/>
  <c r="AH17" i="110" s="1"/>
  <c r="AC17" i="110"/>
  <c r="Z17" i="110"/>
  <c r="H17" i="110"/>
  <c r="E17" i="110"/>
  <c r="F17" i="110" s="1"/>
  <c r="L17" i="110" s="1"/>
  <c r="M17" i="110" s="1"/>
  <c r="O17" i="110" s="1"/>
  <c r="P17" i="110" s="1"/>
  <c r="R17" i="110" s="1"/>
  <c r="AS16" i="110"/>
  <c r="AF16" i="110"/>
  <c r="AC16" i="110"/>
  <c r="Z16" i="110"/>
  <c r="E16" i="110"/>
  <c r="F16" i="110" s="1"/>
  <c r="AS15" i="110"/>
  <c r="AF15" i="110"/>
  <c r="AC15" i="110"/>
  <c r="AG15" i="110" s="1"/>
  <c r="AH15" i="110" s="1"/>
  <c r="Z15" i="110"/>
  <c r="E15" i="110"/>
  <c r="F15" i="110" s="1"/>
  <c r="AS14" i="110"/>
  <c r="AO14" i="110"/>
  <c r="AF14" i="110"/>
  <c r="AC14" i="110"/>
  <c r="Z14" i="110"/>
  <c r="E14" i="110"/>
  <c r="F14" i="110" s="1"/>
  <c r="K14" i="110" s="1"/>
  <c r="AS13" i="110"/>
  <c r="AF13" i="110"/>
  <c r="AC13" i="110"/>
  <c r="Z13" i="110"/>
  <c r="AG13" i="110" s="1"/>
  <c r="K13" i="110"/>
  <c r="E13" i="110"/>
  <c r="F13" i="110" s="1"/>
  <c r="AS12" i="110"/>
  <c r="AF12" i="110"/>
  <c r="AC12" i="110"/>
  <c r="Z12" i="110"/>
  <c r="H12" i="110"/>
  <c r="E12" i="110"/>
  <c r="F12" i="110" s="1"/>
  <c r="L12" i="110" s="1"/>
  <c r="AS11" i="110"/>
  <c r="AF11" i="110"/>
  <c r="AC11" i="110"/>
  <c r="Z11" i="110"/>
  <c r="K11" i="110"/>
  <c r="H11" i="110"/>
  <c r="E11" i="110"/>
  <c r="F11" i="110" s="1"/>
  <c r="AS10" i="110"/>
  <c r="AO10" i="110"/>
  <c r="AF10" i="110"/>
  <c r="AC10" i="110"/>
  <c r="Z10" i="110"/>
  <c r="K10" i="110"/>
  <c r="H10" i="110"/>
  <c r="E10" i="110"/>
  <c r="F10" i="110" s="1"/>
  <c r="L10" i="110" s="1"/>
  <c r="AS9" i="110"/>
  <c r="AO9" i="110"/>
  <c r="AF9" i="110"/>
  <c r="AC9" i="110"/>
  <c r="Z9" i="110"/>
  <c r="Z28" i="110" s="1"/>
  <c r="F9" i="110"/>
  <c r="E9" i="110"/>
  <c r="AE25" i="109"/>
  <c r="AD25" i="109"/>
  <c r="AB25" i="109"/>
  <c r="AA25" i="109"/>
  <c r="Y25" i="109"/>
  <c r="X25" i="109"/>
  <c r="U25" i="109"/>
  <c r="I25" i="109"/>
  <c r="D25" i="109"/>
  <c r="C25" i="109"/>
  <c r="AS24" i="109"/>
  <c r="AF24" i="109"/>
  <c r="AC24" i="109"/>
  <c r="Z24" i="109"/>
  <c r="AG24" i="109" s="1"/>
  <c r="E24" i="109"/>
  <c r="F24" i="109" s="1"/>
  <c r="M24" i="109" s="1"/>
  <c r="O24" i="109" s="1"/>
  <c r="P24" i="109" s="1"/>
  <c r="AF23" i="109"/>
  <c r="AC23" i="109"/>
  <c r="Z23" i="109"/>
  <c r="AG23" i="109" s="1"/>
  <c r="E23" i="109"/>
  <c r="F23" i="109" s="1"/>
  <c r="AS22" i="109"/>
  <c r="AF22" i="109"/>
  <c r="AC22" i="109"/>
  <c r="Z22" i="109"/>
  <c r="H22" i="109"/>
  <c r="G22" i="109"/>
  <c r="G25" i="109" s="1"/>
  <c r="E22" i="109"/>
  <c r="F22" i="109" s="1"/>
  <c r="AS21" i="109"/>
  <c r="AF21" i="109"/>
  <c r="AC21" i="109"/>
  <c r="Z21" i="109"/>
  <c r="H21" i="109"/>
  <c r="E21" i="109"/>
  <c r="F21" i="109" s="1"/>
  <c r="AF20" i="109"/>
  <c r="AC20" i="109"/>
  <c r="Z20" i="109"/>
  <c r="E20" i="109"/>
  <c r="F20" i="109" s="1"/>
  <c r="L20" i="109" s="1"/>
  <c r="M20" i="109" s="1"/>
  <c r="AF19" i="109"/>
  <c r="AC19" i="109"/>
  <c r="Z19" i="109"/>
  <c r="E19" i="109"/>
  <c r="F19" i="109" s="1"/>
  <c r="AF18" i="109"/>
  <c r="AC18" i="109"/>
  <c r="Z18" i="109"/>
  <c r="E18" i="109"/>
  <c r="F18" i="109" s="1"/>
  <c r="L18" i="109" s="1"/>
  <c r="AS17" i="109"/>
  <c r="AF17" i="109"/>
  <c r="AC17" i="109"/>
  <c r="Z17" i="109"/>
  <c r="K17" i="109"/>
  <c r="J17" i="109"/>
  <c r="J25" i="109" s="1"/>
  <c r="H17" i="109"/>
  <c r="E17" i="109"/>
  <c r="F17" i="109" s="1"/>
  <c r="AS16" i="109"/>
  <c r="AF16" i="109"/>
  <c r="AG16" i="109" s="1"/>
  <c r="AH16" i="109" s="1"/>
  <c r="AC16" i="109"/>
  <c r="Z16" i="109"/>
  <c r="H16" i="109"/>
  <c r="E16" i="109"/>
  <c r="F16" i="109" s="1"/>
  <c r="AS15" i="109"/>
  <c r="AF15" i="109"/>
  <c r="AC15" i="109"/>
  <c r="Z15" i="109"/>
  <c r="H15" i="109"/>
  <c r="E15" i="109"/>
  <c r="F15" i="109" s="1"/>
  <c r="L15" i="109" s="1"/>
  <c r="AS14" i="109"/>
  <c r="AF14" i="109"/>
  <c r="AG14" i="109" s="1"/>
  <c r="AH14" i="109" s="1"/>
  <c r="AC14" i="109"/>
  <c r="Z14" i="109"/>
  <c r="H14" i="109"/>
  <c r="E14" i="109"/>
  <c r="F14" i="109" s="1"/>
  <c r="K14" i="109" s="1"/>
  <c r="AS13" i="109"/>
  <c r="AF13" i="109"/>
  <c r="AC13" i="109"/>
  <c r="Z13" i="109"/>
  <c r="H13" i="109"/>
  <c r="E13" i="109"/>
  <c r="F13" i="109" s="1"/>
  <c r="K13" i="109" s="1"/>
  <c r="AS12" i="109"/>
  <c r="AF12" i="109"/>
  <c r="AC12" i="109"/>
  <c r="Z12" i="109"/>
  <c r="E12" i="109"/>
  <c r="F12" i="109" s="1"/>
  <c r="AS11" i="109"/>
  <c r="AO11" i="109"/>
  <c r="AF11" i="109"/>
  <c r="AC11" i="109"/>
  <c r="Z11" i="109"/>
  <c r="H11" i="109"/>
  <c r="E11" i="109"/>
  <c r="F11" i="109" s="1"/>
  <c r="AS10" i="109"/>
  <c r="AO10" i="109"/>
  <c r="AF10" i="109"/>
  <c r="AC10" i="109"/>
  <c r="Z10" i="109"/>
  <c r="E10" i="109"/>
  <c r="F10" i="109" s="1"/>
  <c r="K10" i="109" s="1"/>
  <c r="AS9" i="109"/>
  <c r="AO9" i="109"/>
  <c r="AF9" i="109"/>
  <c r="AC9" i="109"/>
  <c r="Z9" i="109"/>
  <c r="E9" i="109"/>
  <c r="U66" i="108"/>
  <c r="N66" i="108"/>
  <c r="J66" i="108"/>
  <c r="I66" i="108"/>
  <c r="H66" i="108"/>
  <c r="G66" i="108"/>
  <c r="D66" i="108"/>
  <c r="C66" i="108"/>
  <c r="U65" i="108"/>
  <c r="N65" i="108"/>
  <c r="I65" i="108"/>
  <c r="G65" i="108"/>
  <c r="D65" i="108"/>
  <c r="U64" i="108"/>
  <c r="U67" i="108" s="1"/>
  <c r="N64" i="108"/>
  <c r="J64" i="108"/>
  <c r="I64" i="108"/>
  <c r="H64" i="108"/>
  <c r="G64" i="108"/>
  <c r="D64" i="108"/>
  <c r="C64" i="108"/>
  <c r="J57" i="108"/>
  <c r="I57" i="108"/>
  <c r="AQ52" i="108"/>
  <c r="AE52" i="108"/>
  <c r="AD52" i="108"/>
  <c r="AB52" i="108"/>
  <c r="AA52" i="108"/>
  <c r="Y52" i="108"/>
  <c r="X52" i="108"/>
  <c r="U52" i="108"/>
  <c r="N52" i="108"/>
  <c r="I52" i="108"/>
  <c r="D52" i="108"/>
  <c r="AQ51" i="108"/>
  <c r="AF51" i="108"/>
  <c r="AC51" i="108"/>
  <c r="Z51" i="108"/>
  <c r="C51" i="108"/>
  <c r="E51" i="108" s="1"/>
  <c r="F51" i="108" s="1"/>
  <c r="AQ50" i="108"/>
  <c r="AF50" i="108"/>
  <c r="AC50" i="108"/>
  <c r="Z50" i="108"/>
  <c r="E50" i="108"/>
  <c r="F50" i="108" s="1"/>
  <c r="AQ49" i="108"/>
  <c r="AF49" i="108"/>
  <c r="AC49" i="108"/>
  <c r="Z49" i="108"/>
  <c r="G49" i="108"/>
  <c r="E49" i="108"/>
  <c r="F49" i="108" s="1"/>
  <c r="L49" i="108" s="1"/>
  <c r="M49" i="108" s="1"/>
  <c r="AQ48" i="108"/>
  <c r="AF48" i="108"/>
  <c r="AC48" i="108"/>
  <c r="Z48" i="108"/>
  <c r="K48" i="108"/>
  <c r="G48" i="108"/>
  <c r="E48" i="108"/>
  <c r="F48" i="108" s="1"/>
  <c r="L48" i="108" s="1"/>
  <c r="AQ47" i="108"/>
  <c r="AF47" i="108"/>
  <c r="AC47" i="108"/>
  <c r="Z47" i="108"/>
  <c r="AG47" i="108" s="1"/>
  <c r="AH47" i="108" s="1"/>
  <c r="K47" i="108"/>
  <c r="G47" i="108"/>
  <c r="E47" i="108"/>
  <c r="F47" i="108" s="1"/>
  <c r="AQ46" i="108"/>
  <c r="AF46" i="108"/>
  <c r="AC46" i="108"/>
  <c r="Z46" i="108"/>
  <c r="H46" i="108"/>
  <c r="F46" i="108"/>
  <c r="L46" i="108" s="1"/>
  <c r="E46" i="108"/>
  <c r="AQ45" i="108"/>
  <c r="AF45" i="108"/>
  <c r="AC45" i="108"/>
  <c r="Z45" i="108"/>
  <c r="E45" i="108"/>
  <c r="F45" i="108" s="1"/>
  <c r="AQ44" i="108"/>
  <c r="AF44" i="108"/>
  <c r="AC44" i="108"/>
  <c r="Z44" i="108"/>
  <c r="G44" i="108"/>
  <c r="C44" i="108"/>
  <c r="E44" i="108" s="1"/>
  <c r="F44" i="108" s="1"/>
  <c r="L44" i="108" s="1"/>
  <c r="M44" i="108" s="1"/>
  <c r="AO43" i="108"/>
  <c r="AF43" i="108"/>
  <c r="AC43" i="108"/>
  <c r="Z43" i="108"/>
  <c r="E43" i="108"/>
  <c r="F43" i="108" s="1"/>
  <c r="L43" i="108" s="1"/>
  <c r="AQ42" i="108"/>
  <c r="AG42" i="108"/>
  <c r="W42" i="108"/>
  <c r="AQ41" i="108"/>
  <c r="AF41" i="108"/>
  <c r="AC41" i="108"/>
  <c r="Z41" i="108"/>
  <c r="E41" i="108"/>
  <c r="F41" i="108" s="1"/>
  <c r="M41" i="108" s="1"/>
  <c r="AQ40" i="108"/>
  <c r="AF40" i="108"/>
  <c r="AC40" i="108"/>
  <c r="Z40" i="108"/>
  <c r="H40" i="108"/>
  <c r="E40" i="108"/>
  <c r="F40" i="108" s="1"/>
  <c r="M40" i="108" s="1"/>
  <c r="AQ39" i="108"/>
  <c r="AF39" i="108"/>
  <c r="AC39" i="108"/>
  <c r="Z39" i="108"/>
  <c r="C39" i="108"/>
  <c r="E39" i="108" s="1"/>
  <c r="F39" i="108" s="1"/>
  <c r="M39" i="108" s="1"/>
  <c r="AQ38" i="108"/>
  <c r="AF38" i="108"/>
  <c r="AC38" i="108"/>
  <c r="Z38" i="108"/>
  <c r="E38" i="108"/>
  <c r="F38" i="108" s="1"/>
  <c r="M38" i="108" s="1"/>
  <c r="AQ37" i="108"/>
  <c r="AF37" i="108"/>
  <c r="AC37" i="108"/>
  <c r="Z37" i="108"/>
  <c r="E37" i="108"/>
  <c r="F37" i="108" s="1"/>
  <c r="L37" i="108" s="1"/>
  <c r="M37" i="108" s="1"/>
  <c r="O37" i="108" s="1"/>
  <c r="P37" i="108" s="1"/>
  <c r="AQ36" i="108"/>
  <c r="AF36" i="108"/>
  <c r="AC36" i="108"/>
  <c r="Z36" i="108"/>
  <c r="E36" i="108"/>
  <c r="F36" i="108" s="1"/>
  <c r="L36" i="108" s="1"/>
  <c r="M36" i="108" s="1"/>
  <c r="O36" i="108" s="1"/>
  <c r="P36" i="108" s="1"/>
  <c r="AQ35" i="108"/>
  <c r="AF35" i="108"/>
  <c r="AC35" i="108"/>
  <c r="Z35" i="108"/>
  <c r="K35" i="108"/>
  <c r="E35" i="108"/>
  <c r="F35" i="108" s="1"/>
  <c r="AO34" i="108"/>
  <c r="AF34" i="108"/>
  <c r="AC34" i="108"/>
  <c r="Z34" i="108"/>
  <c r="K34" i="108"/>
  <c r="J34" i="108"/>
  <c r="E34" i="108"/>
  <c r="F34" i="108" s="1"/>
  <c r="L34" i="108" s="1"/>
  <c r="M34" i="108" s="1"/>
  <c r="O34" i="108" s="1"/>
  <c r="P34" i="108" s="1"/>
  <c r="AQ33" i="108"/>
  <c r="AF33" i="108"/>
  <c r="AC33" i="108"/>
  <c r="Z33" i="108"/>
  <c r="K33" i="108"/>
  <c r="E33" i="108"/>
  <c r="F33" i="108" s="1"/>
  <c r="AO32" i="108"/>
  <c r="AF32" i="108"/>
  <c r="AC32" i="108"/>
  <c r="Z32" i="108"/>
  <c r="K32" i="108"/>
  <c r="E32" i="108"/>
  <c r="F32" i="108" s="1"/>
  <c r="AQ31" i="108"/>
  <c r="AF31" i="108"/>
  <c r="AC31" i="108"/>
  <c r="Z31" i="108"/>
  <c r="K31" i="108"/>
  <c r="E31" i="108"/>
  <c r="F31" i="108" s="1"/>
  <c r="L31" i="108" s="1"/>
  <c r="AQ30" i="108"/>
  <c r="AF30" i="108"/>
  <c r="AG30" i="108" s="1"/>
  <c r="AH30" i="108" s="1"/>
  <c r="AC30" i="108"/>
  <c r="Z30" i="108"/>
  <c r="K30" i="108"/>
  <c r="E30" i="108"/>
  <c r="F30" i="108" s="1"/>
  <c r="J30" i="108" s="1"/>
  <c r="AO29" i="108"/>
  <c r="AF29" i="108"/>
  <c r="AC29" i="108"/>
  <c r="Z29" i="108"/>
  <c r="K29" i="108"/>
  <c r="E29" i="108"/>
  <c r="F29" i="108" s="1"/>
  <c r="L29" i="108" s="1"/>
  <c r="M29" i="108" s="1"/>
  <c r="O29" i="108" s="1"/>
  <c r="P29" i="108" s="1"/>
  <c r="AO28" i="108"/>
  <c r="AF28" i="108"/>
  <c r="AC28" i="108"/>
  <c r="Z28" i="108"/>
  <c r="E28" i="108"/>
  <c r="F28" i="108" s="1"/>
  <c r="L28" i="108" s="1"/>
  <c r="AQ27" i="108"/>
  <c r="AF27" i="108"/>
  <c r="AC27" i="108"/>
  <c r="Z27" i="108"/>
  <c r="C27" i="108"/>
  <c r="E27" i="108" s="1"/>
  <c r="F27" i="108" s="1"/>
  <c r="AQ26" i="108"/>
  <c r="AF26" i="108"/>
  <c r="AC26" i="108"/>
  <c r="Z26" i="108"/>
  <c r="K26" i="108"/>
  <c r="E26" i="108"/>
  <c r="F26" i="108" s="1"/>
  <c r="L26" i="108" s="1"/>
  <c r="AQ25" i="108"/>
  <c r="AF25" i="108"/>
  <c r="AC25" i="108"/>
  <c r="Z25" i="108"/>
  <c r="E25" i="108"/>
  <c r="F25" i="108" s="1"/>
  <c r="K25" i="108" s="1"/>
  <c r="AQ24" i="108"/>
  <c r="AF24" i="108"/>
  <c r="AC24" i="108"/>
  <c r="Z24" i="108"/>
  <c r="AG24" i="108" s="1"/>
  <c r="AH24" i="108" s="1"/>
  <c r="E24" i="108"/>
  <c r="F24" i="108" s="1"/>
  <c r="K24" i="108" s="1"/>
  <c r="AQ23" i="108"/>
  <c r="AF23" i="108"/>
  <c r="AC23" i="108"/>
  <c r="Z23" i="108"/>
  <c r="E23" i="108"/>
  <c r="F23" i="108" s="1"/>
  <c r="AQ22" i="108"/>
  <c r="AF22" i="108"/>
  <c r="AC22" i="108"/>
  <c r="Z22" i="108"/>
  <c r="E22" i="108"/>
  <c r="F22" i="108" s="1"/>
  <c r="K22" i="108" s="1"/>
  <c r="AO21" i="108"/>
  <c r="AF21" i="108"/>
  <c r="AC21" i="108"/>
  <c r="Z21" i="108"/>
  <c r="K21" i="108"/>
  <c r="H21" i="108"/>
  <c r="E21" i="108"/>
  <c r="F21" i="108" s="1"/>
  <c r="L21" i="108" s="1"/>
  <c r="AO20" i="108"/>
  <c r="AF20" i="108"/>
  <c r="AC20" i="108"/>
  <c r="Z20" i="108"/>
  <c r="E20" i="108"/>
  <c r="AQ19" i="108"/>
  <c r="AF19" i="108"/>
  <c r="AC19" i="108"/>
  <c r="Z19" i="108"/>
  <c r="E19" i="108"/>
  <c r="F19" i="108" s="1"/>
  <c r="AQ18" i="108"/>
  <c r="AF18" i="108"/>
  <c r="AC18" i="108"/>
  <c r="Z18" i="108"/>
  <c r="K18" i="108"/>
  <c r="E18" i="108"/>
  <c r="AQ17" i="108"/>
  <c r="AF17" i="108"/>
  <c r="AC17" i="108"/>
  <c r="Z17" i="108"/>
  <c r="E17" i="108"/>
  <c r="F17" i="108" s="1"/>
  <c r="AO16" i="108"/>
  <c r="AF16" i="108"/>
  <c r="AC16" i="108"/>
  <c r="Z16" i="108"/>
  <c r="E16" i="108"/>
  <c r="F16" i="108" s="1"/>
  <c r="L16" i="108" s="1"/>
  <c r="AO15" i="108"/>
  <c r="AF15" i="108"/>
  <c r="AC15" i="108"/>
  <c r="Z15" i="108"/>
  <c r="AG15" i="108" s="1"/>
  <c r="AH15" i="108" s="1"/>
  <c r="E15" i="108"/>
  <c r="F15" i="108" s="1"/>
  <c r="AO14" i="108"/>
  <c r="AF14" i="108"/>
  <c r="AC14" i="108"/>
  <c r="Z14" i="108"/>
  <c r="H14" i="108"/>
  <c r="E14" i="108"/>
  <c r="F14" i="108" s="1"/>
  <c r="L14" i="108" s="1"/>
  <c r="AQ13" i="108"/>
  <c r="AF13" i="108"/>
  <c r="AC13" i="108"/>
  <c r="Z13" i="108"/>
  <c r="K13" i="108"/>
  <c r="H13" i="108"/>
  <c r="H65" i="108" s="1"/>
  <c r="E13" i="108"/>
  <c r="AO12" i="108"/>
  <c r="AF12" i="108"/>
  <c r="AC12" i="108"/>
  <c r="Z12" i="108"/>
  <c r="E12" i="108"/>
  <c r="AO11" i="108"/>
  <c r="AF11" i="108"/>
  <c r="AC11" i="108"/>
  <c r="Z11" i="108"/>
  <c r="E11" i="108"/>
  <c r="F11" i="108" s="1"/>
  <c r="AO10" i="108"/>
  <c r="AF10" i="108"/>
  <c r="AC10" i="108"/>
  <c r="Z10" i="108"/>
  <c r="E10" i="108"/>
  <c r="F10" i="108" s="1"/>
  <c r="K10" i="108" s="1"/>
  <c r="AO9" i="108"/>
  <c r="AF9" i="108"/>
  <c r="AC9" i="108"/>
  <c r="Z9" i="108"/>
  <c r="AG9" i="108" s="1"/>
  <c r="E9" i="108"/>
  <c r="F9" i="108" s="1"/>
  <c r="G28" i="107"/>
  <c r="AE23" i="107"/>
  <c r="AD23" i="107"/>
  <c r="AB23" i="107"/>
  <c r="AA23" i="107"/>
  <c r="Y23" i="107"/>
  <c r="X23" i="107"/>
  <c r="U23" i="107"/>
  <c r="H23" i="107"/>
  <c r="G23" i="107"/>
  <c r="D23" i="107"/>
  <c r="AS22" i="107"/>
  <c r="AF22" i="107"/>
  <c r="AC22" i="107"/>
  <c r="Z22" i="107"/>
  <c r="C22" i="107"/>
  <c r="E22" i="107" s="1"/>
  <c r="F22" i="107" s="1"/>
  <c r="M22" i="107" s="1"/>
  <c r="AS21" i="107"/>
  <c r="AF21" i="107"/>
  <c r="AC21" i="107"/>
  <c r="Z21" i="107"/>
  <c r="K21" i="107"/>
  <c r="E21" i="107"/>
  <c r="F21" i="107" s="1"/>
  <c r="AS20" i="107"/>
  <c r="AF20" i="107"/>
  <c r="AC20" i="107"/>
  <c r="Z20" i="107"/>
  <c r="K20" i="107"/>
  <c r="J20" i="107"/>
  <c r="E20" i="107"/>
  <c r="F20" i="107" s="1"/>
  <c r="L20" i="107" s="1"/>
  <c r="AS19" i="107"/>
  <c r="AF19" i="107"/>
  <c r="AC19" i="107"/>
  <c r="Z19" i="107"/>
  <c r="E19" i="107"/>
  <c r="F19" i="107" s="1"/>
  <c r="AS18" i="107"/>
  <c r="AF18" i="107"/>
  <c r="AC18" i="107"/>
  <c r="Z18" i="107"/>
  <c r="E18" i="107"/>
  <c r="F18" i="107" s="1"/>
  <c r="AS17" i="107"/>
  <c r="AF17" i="107"/>
  <c r="AC17" i="107"/>
  <c r="Z17" i="107"/>
  <c r="AG17" i="107" s="1"/>
  <c r="AH17" i="107" s="1"/>
  <c r="K17" i="107"/>
  <c r="J17" i="107"/>
  <c r="E17" i="107"/>
  <c r="F17" i="107" s="1"/>
  <c r="L17" i="107" s="1"/>
  <c r="AS16" i="107"/>
  <c r="AF16" i="107"/>
  <c r="AC16" i="107"/>
  <c r="Z16" i="107"/>
  <c r="K16" i="107"/>
  <c r="J16" i="107"/>
  <c r="E16" i="107"/>
  <c r="F16" i="107" s="1"/>
  <c r="L16" i="107" s="1"/>
  <c r="AS15" i="107"/>
  <c r="AF15" i="107"/>
  <c r="AC15" i="107"/>
  <c r="Z15" i="107"/>
  <c r="K15" i="107"/>
  <c r="J15" i="107"/>
  <c r="C15" i="107"/>
  <c r="E15" i="107" s="1"/>
  <c r="F15" i="107" s="1"/>
  <c r="AS14" i="107"/>
  <c r="AF14" i="107"/>
  <c r="AC14" i="107"/>
  <c r="Z14" i="107"/>
  <c r="K14" i="107"/>
  <c r="E14" i="107"/>
  <c r="F14" i="107" s="1"/>
  <c r="AS13" i="107"/>
  <c r="AF13" i="107"/>
  <c r="AC13" i="107"/>
  <c r="Z13" i="107"/>
  <c r="K13" i="107"/>
  <c r="E13" i="107"/>
  <c r="F13" i="107" s="1"/>
  <c r="L13" i="107" s="1"/>
  <c r="AS12" i="107"/>
  <c r="AF12" i="107"/>
  <c r="AC12" i="107"/>
  <c r="Z12" i="107"/>
  <c r="E12" i="107"/>
  <c r="F12" i="107" s="1"/>
  <c r="AS11" i="107"/>
  <c r="AF11" i="107"/>
  <c r="AC11" i="107"/>
  <c r="Z11" i="107"/>
  <c r="K11" i="107"/>
  <c r="E11" i="107"/>
  <c r="AS10" i="107"/>
  <c r="AO10" i="107"/>
  <c r="AF10" i="107"/>
  <c r="AC10" i="107"/>
  <c r="Z10" i="107"/>
  <c r="K10" i="107"/>
  <c r="I10" i="107"/>
  <c r="I23" i="107" s="1"/>
  <c r="E10" i="107"/>
  <c r="F10" i="107" s="1"/>
  <c r="L10" i="107" s="1"/>
  <c r="AS9" i="107"/>
  <c r="AO9" i="107"/>
  <c r="AF9" i="107"/>
  <c r="AC9" i="107"/>
  <c r="AC23" i="107" s="1"/>
  <c r="Z9" i="107"/>
  <c r="E9" i="107"/>
  <c r="F9" i="107" s="1"/>
  <c r="AE21" i="106"/>
  <c r="AD21" i="106"/>
  <c r="AB21" i="106"/>
  <c r="AA21" i="106"/>
  <c r="Y21" i="106"/>
  <c r="X21" i="106"/>
  <c r="U21" i="106"/>
  <c r="J21" i="106"/>
  <c r="I21" i="106"/>
  <c r="D21" i="106"/>
  <c r="C21" i="106"/>
  <c r="AF20" i="106"/>
  <c r="AC20" i="106"/>
  <c r="Z20" i="106"/>
  <c r="H20" i="106"/>
  <c r="G20" i="106"/>
  <c r="E20" i="106"/>
  <c r="F20" i="106" s="1"/>
  <c r="AF19" i="106"/>
  <c r="AC19" i="106"/>
  <c r="Z19" i="106"/>
  <c r="E19" i="106"/>
  <c r="F19" i="106" s="1"/>
  <c r="L19" i="106" s="1"/>
  <c r="AF18" i="106"/>
  <c r="AC18" i="106"/>
  <c r="Z18" i="106"/>
  <c r="H18" i="106"/>
  <c r="G18" i="106"/>
  <c r="E18" i="106"/>
  <c r="F18" i="106" s="1"/>
  <c r="AF17" i="106"/>
  <c r="AC17" i="106"/>
  <c r="Z17" i="106"/>
  <c r="E17" i="106"/>
  <c r="F17" i="106" s="1"/>
  <c r="L17" i="106" s="1"/>
  <c r="AF16" i="106"/>
  <c r="AC16" i="106"/>
  <c r="Z16" i="106"/>
  <c r="H16" i="106"/>
  <c r="G16" i="106"/>
  <c r="E16" i="106"/>
  <c r="F16" i="106" s="1"/>
  <c r="AF15" i="106"/>
  <c r="AC15" i="106"/>
  <c r="Z15" i="106"/>
  <c r="K15" i="106"/>
  <c r="E15" i="106"/>
  <c r="F15" i="106" s="1"/>
  <c r="L15" i="106" s="1"/>
  <c r="AF14" i="106"/>
  <c r="AC14" i="106"/>
  <c r="Z14" i="106"/>
  <c r="AG14" i="106" s="1"/>
  <c r="AH14" i="106" s="1"/>
  <c r="E14" i="106"/>
  <c r="F14" i="106" s="1"/>
  <c r="L14" i="106" s="1"/>
  <c r="AF13" i="106"/>
  <c r="AC13" i="106"/>
  <c r="Z13" i="106"/>
  <c r="E13" i="106"/>
  <c r="F13" i="106" s="1"/>
  <c r="L13" i="106" s="1"/>
  <c r="AF12" i="106"/>
  <c r="AC12" i="106"/>
  <c r="Z12" i="106"/>
  <c r="AG12" i="106" s="1"/>
  <c r="E12" i="106"/>
  <c r="F12" i="106" s="1"/>
  <c r="AF11" i="106"/>
  <c r="AC11" i="106"/>
  <c r="Z11" i="106"/>
  <c r="AG11" i="106" s="1"/>
  <c r="AH11" i="106" s="1"/>
  <c r="E11" i="106"/>
  <c r="F11" i="106" s="1"/>
  <c r="AO10" i="106"/>
  <c r="AF10" i="106"/>
  <c r="AC10" i="106"/>
  <c r="Z10" i="106"/>
  <c r="E10" i="106"/>
  <c r="F10" i="106" s="1"/>
  <c r="L10" i="106" s="1"/>
  <c r="AO9" i="106"/>
  <c r="AF9" i="106"/>
  <c r="AC9" i="106"/>
  <c r="Z9" i="106"/>
  <c r="K9" i="106"/>
  <c r="E9" i="106"/>
  <c r="AE28" i="105"/>
  <c r="AD28" i="105"/>
  <c r="AB28" i="105"/>
  <c r="AA28" i="105"/>
  <c r="Y28" i="105"/>
  <c r="X28" i="105"/>
  <c r="U28" i="105"/>
  <c r="N28" i="105"/>
  <c r="J28" i="105"/>
  <c r="I28" i="105"/>
  <c r="G28" i="105"/>
  <c r="D28" i="105"/>
  <c r="C28" i="105"/>
  <c r="AL27" i="105"/>
  <c r="AF27" i="105"/>
  <c r="AC27" i="105"/>
  <c r="Z27" i="105"/>
  <c r="H27" i="105"/>
  <c r="E27" i="105"/>
  <c r="F27" i="105" s="1"/>
  <c r="AL26" i="105"/>
  <c r="AF26" i="105"/>
  <c r="AC26" i="105"/>
  <c r="Z26" i="105"/>
  <c r="H26" i="105"/>
  <c r="E26" i="105"/>
  <c r="F26" i="105" s="1"/>
  <c r="AL25" i="105"/>
  <c r="AF25" i="105"/>
  <c r="AC25" i="105"/>
  <c r="Z25" i="105"/>
  <c r="H25" i="105"/>
  <c r="E25" i="105"/>
  <c r="F25" i="105" s="1"/>
  <c r="AL24" i="105"/>
  <c r="AF24" i="105"/>
  <c r="AC24" i="105"/>
  <c r="Z24" i="105"/>
  <c r="K24" i="105"/>
  <c r="H24" i="105"/>
  <c r="M24" i="105" s="1"/>
  <c r="O24" i="105" s="1"/>
  <c r="P24" i="105" s="1"/>
  <c r="E24" i="105"/>
  <c r="F24" i="105" s="1"/>
  <c r="L24" i="105" s="1"/>
  <c r="AL23" i="105"/>
  <c r="AF23" i="105"/>
  <c r="AC23" i="105"/>
  <c r="Z23" i="105"/>
  <c r="E23" i="105"/>
  <c r="F23" i="105" s="1"/>
  <c r="L23" i="105" s="1"/>
  <c r="AL22" i="105"/>
  <c r="AF22" i="105"/>
  <c r="AC22" i="105"/>
  <c r="Z22" i="105"/>
  <c r="K22" i="105"/>
  <c r="H22" i="105"/>
  <c r="E22" i="105"/>
  <c r="F22" i="105" s="1"/>
  <c r="AL21" i="105"/>
  <c r="AF21" i="105"/>
  <c r="AC21" i="105"/>
  <c r="Z21" i="105"/>
  <c r="H21" i="105"/>
  <c r="E21" i="105"/>
  <c r="F21" i="105" s="1"/>
  <c r="L21" i="105" s="1"/>
  <c r="AL20" i="105"/>
  <c r="AF20" i="105"/>
  <c r="AC20" i="105"/>
  <c r="Z20" i="105"/>
  <c r="K20" i="105"/>
  <c r="H20" i="105"/>
  <c r="E20" i="105"/>
  <c r="F20" i="105" s="1"/>
  <c r="L20" i="105" s="1"/>
  <c r="AL19" i="105"/>
  <c r="AF19" i="105"/>
  <c r="AC19" i="105"/>
  <c r="Z19" i="105"/>
  <c r="K19" i="105"/>
  <c r="H19" i="105"/>
  <c r="E19" i="105"/>
  <c r="F19" i="105" s="1"/>
  <c r="AL18" i="105"/>
  <c r="AF18" i="105"/>
  <c r="AC18" i="105"/>
  <c r="Z18" i="105"/>
  <c r="H18" i="105"/>
  <c r="E18" i="105"/>
  <c r="F18" i="105" s="1"/>
  <c r="AL17" i="105"/>
  <c r="AF17" i="105"/>
  <c r="AC17" i="105"/>
  <c r="Z17" i="105"/>
  <c r="K17" i="105"/>
  <c r="H17" i="105"/>
  <c r="E17" i="105"/>
  <c r="F17" i="105" s="1"/>
  <c r="AL16" i="105"/>
  <c r="AF16" i="105"/>
  <c r="AC16" i="105"/>
  <c r="Z16" i="105"/>
  <c r="K16" i="105"/>
  <c r="H16" i="105"/>
  <c r="E16" i="105"/>
  <c r="F16" i="105" s="1"/>
  <c r="L16" i="105" s="1"/>
  <c r="AL15" i="105"/>
  <c r="AF15" i="105"/>
  <c r="AC15" i="105"/>
  <c r="Z15" i="105"/>
  <c r="H15" i="105"/>
  <c r="E15" i="105"/>
  <c r="F15" i="105" s="1"/>
  <c r="K15" i="105" s="1"/>
  <c r="AL14" i="105"/>
  <c r="AF14" i="105"/>
  <c r="AC14" i="105"/>
  <c r="Z14" i="105"/>
  <c r="AG14" i="105" s="1"/>
  <c r="H14" i="105"/>
  <c r="M14" i="105" s="1"/>
  <c r="O14" i="105" s="1"/>
  <c r="P14" i="105" s="1"/>
  <c r="E14" i="105"/>
  <c r="F14" i="105" s="1"/>
  <c r="L14" i="105" s="1"/>
  <c r="AL13" i="105"/>
  <c r="AF13" i="105"/>
  <c r="AC13" i="105"/>
  <c r="Z13" i="105"/>
  <c r="H13" i="105"/>
  <c r="E13" i="105"/>
  <c r="F13" i="105" s="1"/>
  <c r="AL12" i="105"/>
  <c r="AF12" i="105"/>
  <c r="AC12" i="105"/>
  <c r="Z12" i="105"/>
  <c r="H12" i="105"/>
  <c r="E12" i="105"/>
  <c r="F12" i="105" s="1"/>
  <c r="L12" i="105" s="1"/>
  <c r="AL11" i="105"/>
  <c r="AF11" i="105"/>
  <c r="AC11" i="105"/>
  <c r="Z11" i="105"/>
  <c r="K11" i="105"/>
  <c r="H11" i="105"/>
  <c r="E11" i="105"/>
  <c r="F11" i="105" s="1"/>
  <c r="AL10" i="105"/>
  <c r="AF10" i="105"/>
  <c r="AC10" i="105"/>
  <c r="Z10" i="105"/>
  <c r="K10" i="105"/>
  <c r="M10" i="105" s="1"/>
  <c r="O10" i="105" s="1"/>
  <c r="P10" i="105" s="1"/>
  <c r="E10" i="105"/>
  <c r="F10" i="105" s="1"/>
  <c r="L10" i="105" s="1"/>
  <c r="AL9" i="105"/>
  <c r="AF9" i="105"/>
  <c r="AC9" i="105"/>
  <c r="Z9" i="105"/>
  <c r="K9" i="105"/>
  <c r="E9" i="105"/>
  <c r="F9" i="105" s="1"/>
  <c r="AE28" i="104"/>
  <c r="AD28" i="104"/>
  <c r="AB28" i="104"/>
  <c r="AA28" i="104"/>
  <c r="Y28" i="104"/>
  <c r="X28" i="104"/>
  <c r="N28" i="104"/>
  <c r="J28" i="104"/>
  <c r="I28" i="104"/>
  <c r="D28" i="104"/>
  <c r="C28" i="104"/>
  <c r="AS27" i="104"/>
  <c r="AF27" i="104"/>
  <c r="AC27" i="104"/>
  <c r="Z27" i="104"/>
  <c r="H27" i="104"/>
  <c r="G27" i="104"/>
  <c r="E27" i="104"/>
  <c r="F27" i="104" s="1"/>
  <c r="AS26" i="104"/>
  <c r="AF26" i="104"/>
  <c r="AC26" i="104"/>
  <c r="Z26" i="104"/>
  <c r="H26" i="104"/>
  <c r="G26" i="104"/>
  <c r="E26" i="104"/>
  <c r="F26" i="104" s="1"/>
  <c r="AS25" i="104"/>
  <c r="E25" i="104"/>
  <c r="F25" i="104" s="1"/>
  <c r="L25" i="104" s="1"/>
  <c r="M25" i="104" s="1"/>
  <c r="AS24" i="104"/>
  <c r="E24" i="104"/>
  <c r="F24" i="104" s="1"/>
  <c r="AS23" i="104"/>
  <c r="AF23" i="104"/>
  <c r="AC23" i="104"/>
  <c r="Z23" i="104"/>
  <c r="K23" i="104"/>
  <c r="H23" i="104"/>
  <c r="G23" i="104"/>
  <c r="E23" i="104"/>
  <c r="F23" i="104" s="1"/>
  <c r="L23" i="104" s="1"/>
  <c r="AS22" i="104"/>
  <c r="AF22" i="104"/>
  <c r="AC22" i="104"/>
  <c r="Z22" i="104"/>
  <c r="E22" i="104"/>
  <c r="F22" i="104" s="1"/>
  <c r="K22" i="104" s="1"/>
  <c r="AS21" i="104"/>
  <c r="AF21" i="104"/>
  <c r="AC21" i="104"/>
  <c r="Z21" i="104"/>
  <c r="H21" i="104"/>
  <c r="E21" i="104"/>
  <c r="F21" i="104" s="1"/>
  <c r="L21" i="104" s="1"/>
  <c r="AS20" i="104"/>
  <c r="AF20" i="104"/>
  <c r="AC20" i="104"/>
  <c r="Z20" i="104"/>
  <c r="E20" i="104"/>
  <c r="F20" i="104" s="1"/>
  <c r="K20" i="104" s="1"/>
  <c r="AS19" i="104"/>
  <c r="AF19" i="104"/>
  <c r="AC19" i="104"/>
  <c r="Z19" i="104"/>
  <c r="H19" i="104"/>
  <c r="E19" i="104"/>
  <c r="F19" i="104" s="1"/>
  <c r="AS18" i="104"/>
  <c r="AF18" i="104"/>
  <c r="AC18" i="104"/>
  <c r="Z18" i="104"/>
  <c r="K18" i="104"/>
  <c r="H18" i="104"/>
  <c r="E18" i="104"/>
  <c r="F18" i="104" s="1"/>
  <c r="AS17" i="104"/>
  <c r="AF17" i="104"/>
  <c r="AC17" i="104"/>
  <c r="Z17" i="104"/>
  <c r="H17" i="104"/>
  <c r="E17" i="104"/>
  <c r="F17" i="104" s="1"/>
  <c r="AS16" i="104"/>
  <c r="AF16" i="104"/>
  <c r="AC16" i="104"/>
  <c r="Z16" i="104"/>
  <c r="E16" i="104"/>
  <c r="F16" i="104" s="1"/>
  <c r="L16" i="104" s="1"/>
  <c r="AS15" i="104"/>
  <c r="AF15" i="104"/>
  <c r="AC15" i="104"/>
  <c r="Z15" i="104"/>
  <c r="E15" i="104"/>
  <c r="F15" i="104" s="1"/>
  <c r="AS14" i="104"/>
  <c r="AO14" i="104"/>
  <c r="AF14" i="104"/>
  <c r="AC14" i="104"/>
  <c r="Z14" i="104"/>
  <c r="E14" i="104"/>
  <c r="F14" i="104" s="1"/>
  <c r="L14" i="104" s="1"/>
  <c r="AS13" i="104"/>
  <c r="AF13" i="104"/>
  <c r="AC13" i="104"/>
  <c r="Z13" i="104"/>
  <c r="K13" i="104"/>
  <c r="E13" i="104"/>
  <c r="F13" i="104" s="1"/>
  <c r="AS12" i="104"/>
  <c r="AF12" i="104"/>
  <c r="AC12" i="104"/>
  <c r="Z12" i="104"/>
  <c r="H12" i="104"/>
  <c r="E12" i="104"/>
  <c r="F12" i="104" s="1"/>
  <c r="L12" i="104" s="1"/>
  <c r="AS11" i="104"/>
  <c r="AF11" i="104"/>
  <c r="AC11" i="104"/>
  <c r="Z11" i="104"/>
  <c r="K11" i="104"/>
  <c r="H11" i="104"/>
  <c r="E11" i="104"/>
  <c r="F11" i="104" s="1"/>
  <c r="L11" i="104" s="1"/>
  <c r="AS10" i="104"/>
  <c r="AO10" i="104"/>
  <c r="AF10" i="104"/>
  <c r="AC10" i="104"/>
  <c r="Z10" i="104"/>
  <c r="K10" i="104"/>
  <c r="H10" i="104"/>
  <c r="E10" i="104"/>
  <c r="F10" i="104" s="1"/>
  <c r="AS9" i="104"/>
  <c r="AO9" i="104"/>
  <c r="AF9" i="104"/>
  <c r="AC9" i="104"/>
  <c r="Z9" i="104"/>
  <c r="E9" i="104"/>
  <c r="AE25" i="103"/>
  <c r="AD25" i="103"/>
  <c r="AB25" i="103"/>
  <c r="AA25" i="103"/>
  <c r="Y25" i="103"/>
  <c r="X25" i="103"/>
  <c r="U25" i="103"/>
  <c r="I25" i="103"/>
  <c r="D25" i="103"/>
  <c r="C25" i="103"/>
  <c r="AS24" i="103"/>
  <c r="AF24" i="103"/>
  <c r="AC24" i="103"/>
  <c r="Z24" i="103"/>
  <c r="E24" i="103"/>
  <c r="F24" i="103" s="1"/>
  <c r="M24" i="103" s="1"/>
  <c r="O24" i="103" s="1"/>
  <c r="AF23" i="103"/>
  <c r="AC23" i="103"/>
  <c r="Z23" i="103"/>
  <c r="E23" i="103"/>
  <c r="F23" i="103" s="1"/>
  <c r="L23" i="103" s="1"/>
  <c r="AS22" i="103"/>
  <c r="AF22" i="103"/>
  <c r="AC22" i="103"/>
  <c r="Z22" i="103"/>
  <c r="H22" i="103"/>
  <c r="G22" i="103"/>
  <c r="G25" i="103" s="1"/>
  <c r="E22" i="103"/>
  <c r="F22" i="103" s="1"/>
  <c r="AS21" i="103"/>
  <c r="AF21" i="103"/>
  <c r="AC21" i="103"/>
  <c r="Z21" i="103"/>
  <c r="H21" i="103"/>
  <c r="E21" i="103"/>
  <c r="F21" i="103" s="1"/>
  <c r="L21" i="103" s="1"/>
  <c r="AF20" i="103"/>
  <c r="AC20" i="103"/>
  <c r="Z20" i="103"/>
  <c r="E20" i="103"/>
  <c r="F20" i="103" s="1"/>
  <c r="L20" i="103" s="1"/>
  <c r="AF19" i="103"/>
  <c r="AC19" i="103"/>
  <c r="Z19" i="103"/>
  <c r="E19" i="103"/>
  <c r="F19" i="103" s="1"/>
  <c r="AF18" i="103"/>
  <c r="AC18" i="103"/>
  <c r="Z18" i="103"/>
  <c r="E18" i="103"/>
  <c r="F18" i="103" s="1"/>
  <c r="AS17" i="103"/>
  <c r="AF17" i="103"/>
  <c r="AC17" i="103"/>
  <c r="Z17" i="103"/>
  <c r="K17" i="103"/>
  <c r="J17" i="103"/>
  <c r="J25" i="103" s="1"/>
  <c r="H17" i="103"/>
  <c r="E17" i="103"/>
  <c r="F17" i="103" s="1"/>
  <c r="L17" i="103" s="1"/>
  <c r="AS16" i="103"/>
  <c r="AF16" i="103"/>
  <c r="AC16" i="103"/>
  <c r="Z16" i="103"/>
  <c r="H16" i="103"/>
  <c r="E16" i="103"/>
  <c r="F16" i="103" s="1"/>
  <c r="K16" i="103" s="1"/>
  <c r="AS15" i="103"/>
  <c r="AF15" i="103"/>
  <c r="AC15" i="103"/>
  <c r="Z15" i="103"/>
  <c r="AG15" i="103" s="1"/>
  <c r="H15" i="103"/>
  <c r="E15" i="103"/>
  <c r="F15" i="103" s="1"/>
  <c r="K15" i="103" s="1"/>
  <c r="AS14" i="103"/>
  <c r="AF14" i="103"/>
  <c r="AC14" i="103"/>
  <c r="Z14" i="103"/>
  <c r="H14" i="103"/>
  <c r="E14" i="103"/>
  <c r="F14" i="103" s="1"/>
  <c r="AS13" i="103"/>
  <c r="AF13" i="103"/>
  <c r="AC13" i="103"/>
  <c r="Z13" i="103"/>
  <c r="AG13" i="103" s="1"/>
  <c r="H13" i="103"/>
  <c r="E13" i="103"/>
  <c r="F13" i="103" s="1"/>
  <c r="L13" i="103" s="1"/>
  <c r="AS12" i="103"/>
  <c r="AF12" i="103"/>
  <c r="AC12" i="103"/>
  <c r="Z12" i="103"/>
  <c r="E12" i="103"/>
  <c r="F12" i="103" s="1"/>
  <c r="L12" i="103" s="1"/>
  <c r="AS11" i="103"/>
  <c r="AO11" i="103"/>
  <c r="AF11" i="103"/>
  <c r="AC11" i="103"/>
  <c r="Z11" i="103"/>
  <c r="H11" i="103"/>
  <c r="E11" i="103"/>
  <c r="F11" i="103" s="1"/>
  <c r="K11" i="103" s="1"/>
  <c r="AS10" i="103"/>
  <c r="AO10" i="103"/>
  <c r="AF10" i="103"/>
  <c r="AC10" i="103"/>
  <c r="Z10" i="103"/>
  <c r="E10" i="103"/>
  <c r="F10" i="103" s="1"/>
  <c r="K10" i="103" s="1"/>
  <c r="AS9" i="103"/>
  <c r="AO9" i="103"/>
  <c r="AF9" i="103"/>
  <c r="AC9" i="103"/>
  <c r="Z9" i="103"/>
  <c r="E9" i="103"/>
  <c r="U66" i="102"/>
  <c r="N66" i="102"/>
  <c r="J66" i="102"/>
  <c r="I66" i="102"/>
  <c r="H66" i="102"/>
  <c r="G66" i="102"/>
  <c r="D66" i="102"/>
  <c r="C66" i="102"/>
  <c r="U65" i="102"/>
  <c r="N65" i="102"/>
  <c r="I65" i="102"/>
  <c r="G65" i="102"/>
  <c r="D65" i="102"/>
  <c r="U64" i="102"/>
  <c r="U67" i="102" s="1"/>
  <c r="N64" i="102"/>
  <c r="J64" i="102"/>
  <c r="I64" i="102"/>
  <c r="H64" i="102"/>
  <c r="G64" i="102"/>
  <c r="D64" i="102"/>
  <c r="C64" i="102"/>
  <c r="J57" i="102"/>
  <c r="I57" i="102"/>
  <c r="AQ52" i="102"/>
  <c r="AE52" i="102"/>
  <c r="AD52" i="102"/>
  <c r="AB52" i="102"/>
  <c r="AA52" i="102"/>
  <c r="Y52" i="102"/>
  <c r="X52" i="102"/>
  <c r="U52" i="102"/>
  <c r="N52" i="102"/>
  <c r="I52" i="102"/>
  <c r="D52" i="102"/>
  <c r="AQ51" i="102"/>
  <c r="AF51" i="102"/>
  <c r="AC51" i="102"/>
  <c r="Z51" i="102"/>
  <c r="C51" i="102"/>
  <c r="E51" i="102" s="1"/>
  <c r="F51" i="102" s="1"/>
  <c r="AQ50" i="102"/>
  <c r="AF50" i="102"/>
  <c r="AC50" i="102"/>
  <c r="Z50" i="102"/>
  <c r="E50" i="102"/>
  <c r="F50" i="102" s="1"/>
  <c r="L50" i="102" s="1"/>
  <c r="M50" i="102" s="1"/>
  <c r="AQ49" i="102"/>
  <c r="AF49" i="102"/>
  <c r="AG49" i="102" s="1"/>
  <c r="AH49" i="102" s="1"/>
  <c r="AC49" i="102"/>
  <c r="Z49" i="102"/>
  <c r="G49" i="102"/>
  <c r="E49" i="102"/>
  <c r="F49" i="102" s="1"/>
  <c r="L49" i="102" s="1"/>
  <c r="AQ48" i="102"/>
  <c r="AF48" i="102"/>
  <c r="AC48" i="102"/>
  <c r="Z48" i="102"/>
  <c r="K48" i="102"/>
  <c r="G48" i="102"/>
  <c r="E48" i="102"/>
  <c r="F48" i="102" s="1"/>
  <c r="L48" i="102" s="1"/>
  <c r="AQ47" i="102"/>
  <c r="AF47" i="102"/>
  <c r="AC47" i="102"/>
  <c r="Z47" i="102"/>
  <c r="K47" i="102"/>
  <c r="G47" i="102"/>
  <c r="E47" i="102"/>
  <c r="F47" i="102" s="1"/>
  <c r="AQ46" i="102"/>
  <c r="AF46" i="102"/>
  <c r="AC46" i="102"/>
  <c r="Z46" i="102"/>
  <c r="H46" i="102"/>
  <c r="E46" i="102"/>
  <c r="F46" i="102" s="1"/>
  <c r="L46" i="102" s="1"/>
  <c r="AQ45" i="102"/>
  <c r="AF45" i="102"/>
  <c r="AC45" i="102"/>
  <c r="Z45" i="102"/>
  <c r="E45" i="102"/>
  <c r="F45" i="102" s="1"/>
  <c r="L45" i="102" s="1"/>
  <c r="AQ44" i="102"/>
  <c r="AF44" i="102"/>
  <c r="AC44" i="102"/>
  <c r="Z44" i="102"/>
  <c r="G44" i="102"/>
  <c r="C44" i="102"/>
  <c r="E44" i="102" s="1"/>
  <c r="AO43" i="102"/>
  <c r="AF43" i="102"/>
  <c r="AC43" i="102"/>
  <c r="Z43" i="102"/>
  <c r="E43" i="102"/>
  <c r="F43" i="102" s="1"/>
  <c r="K43" i="102" s="1"/>
  <c r="AQ42" i="102"/>
  <c r="AG42" i="102"/>
  <c r="W42" i="102"/>
  <c r="AQ41" i="102"/>
  <c r="AF41" i="102"/>
  <c r="AC41" i="102"/>
  <c r="Z41" i="102"/>
  <c r="F41" i="102"/>
  <c r="M41" i="102" s="1"/>
  <c r="O41" i="102" s="1"/>
  <c r="P41" i="102" s="1"/>
  <c r="E41" i="102"/>
  <c r="AQ40" i="102"/>
  <c r="AF40" i="102"/>
  <c r="AC40" i="102"/>
  <c r="Z40" i="102"/>
  <c r="H40" i="102"/>
  <c r="E40" i="102"/>
  <c r="F40" i="102"/>
  <c r="AQ39" i="102"/>
  <c r="AF39" i="102"/>
  <c r="AC39" i="102"/>
  <c r="Z39" i="102"/>
  <c r="C39" i="102"/>
  <c r="E39" i="102" s="1"/>
  <c r="F39" i="102" s="1"/>
  <c r="M39" i="102" s="1"/>
  <c r="AQ38" i="102"/>
  <c r="AF38" i="102"/>
  <c r="AC38" i="102"/>
  <c r="Z38" i="102"/>
  <c r="E38" i="102"/>
  <c r="F38" i="102" s="1"/>
  <c r="M38" i="102" s="1"/>
  <c r="AQ37" i="102"/>
  <c r="AF37" i="102"/>
  <c r="AC37" i="102"/>
  <c r="Z37" i="102"/>
  <c r="E37" i="102"/>
  <c r="F37" i="102" s="1"/>
  <c r="AQ36" i="102"/>
  <c r="AF36" i="102"/>
  <c r="AC36" i="102"/>
  <c r="Z36" i="102"/>
  <c r="F36" i="102"/>
  <c r="E36" i="102"/>
  <c r="AQ35" i="102"/>
  <c r="AF35" i="102"/>
  <c r="AC35" i="102"/>
  <c r="Z35" i="102"/>
  <c r="K35" i="102"/>
  <c r="E35" i="102"/>
  <c r="F35" i="102"/>
  <c r="AO34" i="102"/>
  <c r="AF34" i="102"/>
  <c r="AC34" i="102"/>
  <c r="Z34" i="102"/>
  <c r="K34" i="102"/>
  <c r="J34" i="102"/>
  <c r="E34" i="102"/>
  <c r="F34" i="102" s="1"/>
  <c r="L34" i="102" s="1"/>
  <c r="AQ33" i="102"/>
  <c r="AF33" i="102"/>
  <c r="AC33" i="102"/>
  <c r="Z33" i="102"/>
  <c r="K33" i="102"/>
  <c r="E33" i="102"/>
  <c r="F33" i="102" s="1"/>
  <c r="AO32" i="102"/>
  <c r="AF32" i="102"/>
  <c r="AC32" i="102"/>
  <c r="Z32" i="102"/>
  <c r="K32" i="102"/>
  <c r="E32" i="102"/>
  <c r="F32" i="102" s="1"/>
  <c r="AQ31" i="102"/>
  <c r="AF31" i="102"/>
  <c r="AC31" i="102"/>
  <c r="Z31" i="102"/>
  <c r="K31" i="102"/>
  <c r="E31" i="102"/>
  <c r="F31" i="102" s="1"/>
  <c r="AQ30" i="102"/>
  <c r="AF30" i="102"/>
  <c r="AC30" i="102"/>
  <c r="Z30" i="102"/>
  <c r="K30" i="102"/>
  <c r="E30" i="102"/>
  <c r="F30" i="102" s="1"/>
  <c r="AO29" i="102"/>
  <c r="AF29" i="102"/>
  <c r="AC29" i="102"/>
  <c r="Z29" i="102"/>
  <c r="K29" i="102"/>
  <c r="E29" i="102"/>
  <c r="F29" i="102" s="1"/>
  <c r="L29" i="102" s="1"/>
  <c r="AO28" i="102"/>
  <c r="AF28" i="102"/>
  <c r="AC28" i="102"/>
  <c r="Z28" i="102"/>
  <c r="E28" i="102"/>
  <c r="F28" i="102" s="1"/>
  <c r="K28" i="102" s="1"/>
  <c r="AQ27" i="102"/>
  <c r="AF27" i="102"/>
  <c r="AC27" i="102"/>
  <c r="Z27" i="102"/>
  <c r="C27" i="102"/>
  <c r="E27" i="102" s="1"/>
  <c r="F27" i="102" s="1"/>
  <c r="AQ26" i="102"/>
  <c r="AF26" i="102"/>
  <c r="AC26" i="102"/>
  <c r="Z26" i="102"/>
  <c r="K26" i="102"/>
  <c r="E26" i="102"/>
  <c r="F26" i="102" s="1"/>
  <c r="AQ25" i="102"/>
  <c r="AF25" i="102"/>
  <c r="AC25" i="102"/>
  <c r="Z25" i="102"/>
  <c r="E25" i="102"/>
  <c r="F25" i="102" s="1"/>
  <c r="AQ24" i="102"/>
  <c r="AF24" i="102"/>
  <c r="AC24" i="102"/>
  <c r="Z24" i="102"/>
  <c r="E24" i="102"/>
  <c r="F24" i="102" s="1"/>
  <c r="AQ23" i="102"/>
  <c r="AF23" i="102"/>
  <c r="AC23" i="102"/>
  <c r="Z23" i="102"/>
  <c r="E23" i="102"/>
  <c r="F23" i="102" s="1"/>
  <c r="L23" i="102" s="1"/>
  <c r="AQ22" i="102"/>
  <c r="AF22" i="102"/>
  <c r="AC22" i="102"/>
  <c r="Z22" i="102"/>
  <c r="E22" i="102"/>
  <c r="F22" i="102" s="1"/>
  <c r="AO21" i="102"/>
  <c r="AF21" i="102"/>
  <c r="AC21" i="102"/>
  <c r="Z21" i="102"/>
  <c r="K21" i="102"/>
  <c r="H21" i="102"/>
  <c r="E21" i="102"/>
  <c r="F21" i="102" s="1"/>
  <c r="L21" i="102" s="1"/>
  <c r="AO20" i="102"/>
  <c r="AF20" i="102"/>
  <c r="AC20" i="102"/>
  <c r="Z20" i="102"/>
  <c r="E20" i="102"/>
  <c r="F20" i="102" s="1"/>
  <c r="AQ19" i="102"/>
  <c r="AF19" i="102"/>
  <c r="AC19" i="102"/>
  <c r="Z19" i="102"/>
  <c r="E19" i="102"/>
  <c r="F19" i="102" s="1"/>
  <c r="K19" i="102" s="1"/>
  <c r="AQ18" i="102"/>
  <c r="AF18" i="102"/>
  <c r="AC18" i="102"/>
  <c r="Z18" i="102"/>
  <c r="K18" i="102"/>
  <c r="E18" i="102"/>
  <c r="F18" i="102" s="1"/>
  <c r="AQ17" i="102"/>
  <c r="AF17" i="102"/>
  <c r="AC17" i="102"/>
  <c r="Z17" i="102"/>
  <c r="E17" i="102"/>
  <c r="F17" i="102" s="1"/>
  <c r="L17" i="102" s="1"/>
  <c r="AO16" i="102"/>
  <c r="AF16" i="102"/>
  <c r="AC16" i="102"/>
  <c r="Z16" i="102"/>
  <c r="E16" i="102"/>
  <c r="F16" i="102" s="1"/>
  <c r="L16" i="102" s="1"/>
  <c r="AO15" i="102"/>
  <c r="AF15" i="102"/>
  <c r="AC15" i="102"/>
  <c r="Z15" i="102"/>
  <c r="E15" i="102"/>
  <c r="F15" i="102" s="1"/>
  <c r="K15" i="102" s="1"/>
  <c r="AO14" i="102"/>
  <c r="AF14" i="102"/>
  <c r="AC14" i="102"/>
  <c r="Z14" i="102"/>
  <c r="H14" i="102"/>
  <c r="E14" i="102"/>
  <c r="F14" i="102" s="1"/>
  <c r="K14" i="102" s="1"/>
  <c r="AQ13" i="102"/>
  <c r="AF13" i="102"/>
  <c r="AC13" i="102"/>
  <c r="Z13" i="102"/>
  <c r="K13" i="102"/>
  <c r="H13" i="102"/>
  <c r="E13" i="102"/>
  <c r="AO12" i="102"/>
  <c r="AF12" i="102"/>
  <c r="AC12" i="102"/>
  <c r="Z12" i="102"/>
  <c r="E12" i="102"/>
  <c r="F12" i="102" s="1"/>
  <c r="L12" i="102" s="1"/>
  <c r="M12" i="102" s="1"/>
  <c r="AO11" i="102"/>
  <c r="AF11" i="102"/>
  <c r="AC11" i="102"/>
  <c r="Z11" i="102"/>
  <c r="E11" i="102"/>
  <c r="F11" i="102" s="1"/>
  <c r="K11" i="102" s="1"/>
  <c r="AO10" i="102"/>
  <c r="AF10" i="102"/>
  <c r="AC10" i="102"/>
  <c r="Z10" i="102"/>
  <c r="E10" i="102"/>
  <c r="F10" i="102" s="1"/>
  <c r="K10" i="102" s="1"/>
  <c r="AO9" i="102"/>
  <c r="AF9" i="102"/>
  <c r="AC9" i="102"/>
  <c r="Z9" i="102"/>
  <c r="E9" i="102"/>
  <c r="F9" i="102" s="1"/>
  <c r="G28" i="101"/>
  <c r="AE23" i="101"/>
  <c r="AD23" i="101"/>
  <c r="AB23" i="101"/>
  <c r="AA23" i="101"/>
  <c r="Y23" i="101"/>
  <c r="X23" i="101"/>
  <c r="U23" i="101"/>
  <c r="H23" i="101"/>
  <c r="G23" i="101"/>
  <c r="D23" i="101"/>
  <c r="AS22" i="101"/>
  <c r="AF22" i="101"/>
  <c r="AC22" i="101"/>
  <c r="Z22" i="101"/>
  <c r="C22" i="101"/>
  <c r="E22" i="101" s="1"/>
  <c r="F22" i="101" s="1"/>
  <c r="M22" i="101" s="1"/>
  <c r="O22" i="101" s="1"/>
  <c r="AS21" i="101"/>
  <c r="AF21" i="101"/>
  <c r="AC21" i="101"/>
  <c r="Z21" i="101"/>
  <c r="K21" i="101"/>
  <c r="E21" i="101"/>
  <c r="F21" i="101" s="1"/>
  <c r="AS20" i="101"/>
  <c r="AF20" i="101"/>
  <c r="AC20" i="101"/>
  <c r="Z20" i="101"/>
  <c r="K20" i="101"/>
  <c r="J20" i="101"/>
  <c r="E20" i="101"/>
  <c r="F20" i="101" s="1"/>
  <c r="AS19" i="101"/>
  <c r="AF19" i="101"/>
  <c r="AC19" i="101"/>
  <c r="Z19" i="101"/>
  <c r="E19" i="101"/>
  <c r="F19" i="101" s="1"/>
  <c r="AS18" i="101"/>
  <c r="AF18" i="101"/>
  <c r="AC18" i="101"/>
  <c r="Z18" i="101"/>
  <c r="E18" i="101"/>
  <c r="F18" i="101" s="1"/>
  <c r="L18" i="101" s="1"/>
  <c r="AS17" i="101"/>
  <c r="AF17" i="101"/>
  <c r="AC17" i="101"/>
  <c r="Z17" i="101"/>
  <c r="K17" i="101"/>
  <c r="J17" i="101"/>
  <c r="E17" i="101"/>
  <c r="F17" i="101" s="1"/>
  <c r="L17" i="101" s="1"/>
  <c r="AS16" i="101"/>
  <c r="AF16" i="101"/>
  <c r="AC16" i="101"/>
  <c r="Z16" i="101"/>
  <c r="K16" i="101"/>
  <c r="J16" i="101"/>
  <c r="E16" i="101"/>
  <c r="F16" i="101" s="1"/>
  <c r="L16" i="101" s="1"/>
  <c r="AS15" i="101"/>
  <c r="AF15" i="101"/>
  <c r="AC15" i="101"/>
  <c r="Z15" i="101"/>
  <c r="K15" i="101"/>
  <c r="J15" i="101"/>
  <c r="C15" i="101"/>
  <c r="AS14" i="101"/>
  <c r="AF14" i="101"/>
  <c r="AC14" i="101"/>
  <c r="Z14" i="101"/>
  <c r="K14" i="101"/>
  <c r="E14" i="101"/>
  <c r="F14" i="101" s="1"/>
  <c r="L14" i="101" s="1"/>
  <c r="AS13" i="101"/>
  <c r="AF13" i="101"/>
  <c r="AC13" i="101"/>
  <c r="Z13" i="101"/>
  <c r="K13" i="101"/>
  <c r="E13" i="101"/>
  <c r="F13" i="101" s="1"/>
  <c r="L13" i="101" s="1"/>
  <c r="AS12" i="101"/>
  <c r="AF12" i="101"/>
  <c r="AC12" i="101"/>
  <c r="Z12" i="101"/>
  <c r="E12" i="101"/>
  <c r="F12" i="101" s="1"/>
  <c r="AS11" i="101"/>
  <c r="AF11" i="101"/>
  <c r="AC11" i="101"/>
  <c r="Z11" i="101"/>
  <c r="K11" i="101"/>
  <c r="E11" i="101"/>
  <c r="F11" i="101" s="1"/>
  <c r="L11" i="101" s="1"/>
  <c r="AS10" i="101"/>
  <c r="AO10" i="101"/>
  <c r="AF10" i="101"/>
  <c r="AC10" i="101"/>
  <c r="Z10" i="101"/>
  <c r="K10" i="101"/>
  <c r="I10" i="101"/>
  <c r="I23" i="101" s="1"/>
  <c r="E10" i="101"/>
  <c r="F10" i="101" s="1"/>
  <c r="L10" i="101" s="1"/>
  <c r="AS9" i="101"/>
  <c r="AO9" i="101"/>
  <c r="AF9" i="101"/>
  <c r="AC9" i="101"/>
  <c r="Z9" i="101"/>
  <c r="E9" i="101"/>
  <c r="F9" i="101" s="1"/>
  <c r="L9" i="101" s="1"/>
  <c r="AE21" i="100"/>
  <c r="AD21" i="100"/>
  <c r="AB21" i="100"/>
  <c r="AA21" i="100"/>
  <c r="Y21" i="100"/>
  <c r="X21" i="100"/>
  <c r="U21" i="100"/>
  <c r="J21" i="100"/>
  <c r="I21" i="100"/>
  <c r="D21" i="100"/>
  <c r="C21" i="100"/>
  <c r="AF20" i="100"/>
  <c r="AC20" i="100"/>
  <c r="Z20" i="100"/>
  <c r="H20" i="100"/>
  <c r="G20" i="100"/>
  <c r="E20" i="100"/>
  <c r="F20" i="100" s="1"/>
  <c r="L20" i="100" s="1"/>
  <c r="M20" i="100" s="1"/>
  <c r="AF19" i="100"/>
  <c r="AC19" i="100"/>
  <c r="Z19" i="100"/>
  <c r="E19" i="100"/>
  <c r="F19" i="100" s="1"/>
  <c r="L19" i="100" s="1"/>
  <c r="M19" i="100" s="1"/>
  <c r="O19" i="100" s="1"/>
  <c r="P19" i="100" s="1"/>
  <c r="Q19" i="100" s="1"/>
  <c r="AF18" i="100"/>
  <c r="AC18" i="100"/>
  <c r="Z18" i="100"/>
  <c r="H18" i="100"/>
  <c r="G18" i="100"/>
  <c r="E18" i="100"/>
  <c r="F18" i="100" s="1"/>
  <c r="L18" i="100" s="1"/>
  <c r="AF17" i="100"/>
  <c r="AC17" i="100"/>
  <c r="Z17" i="100"/>
  <c r="E17" i="100"/>
  <c r="F17" i="100" s="1"/>
  <c r="AF16" i="100"/>
  <c r="AC16" i="100"/>
  <c r="AG16" i="100" s="1"/>
  <c r="Z16" i="100"/>
  <c r="H16" i="100"/>
  <c r="G16" i="100"/>
  <c r="E16" i="100"/>
  <c r="F16" i="100" s="1"/>
  <c r="AF15" i="100"/>
  <c r="AC15" i="100"/>
  <c r="Z15" i="100"/>
  <c r="K15" i="100"/>
  <c r="E15" i="100"/>
  <c r="F15" i="100" s="1"/>
  <c r="L15" i="100" s="1"/>
  <c r="AF14" i="100"/>
  <c r="AC14" i="100"/>
  <c r="Z14" i="100"/>
  <c r="E14" i="100"/>
  <c r="F14" i="100" s="1"/>
  <c r="L14" i="100" s="1"/>
  <c r="AF13" i="100"/>
  <c r="AC13" i="100"/>
  <c r="Z13" i="100"/>
  <c r="AG13" i="100" s="1"/>
  <c r="E13" i="100"/>
  <c r="F13" i="100" s="1"/>
  <c r="L13" i="100" s="1"/>
  <c r="AF12" i="100"/>
  <c r="AC12" i="100"/>
  <c r="Z12" i="100"/>
  <c r="AG12" i="100" s="1"/>
  <c r="E12" i="100"/>
  <c r="F12" i="100" s="1"/>
  <c r="AF11" i="100"/>
  <c r="AC11" i="100"/>
  <c r="Z11" i="100"/>
  <c r="E11" i="100"/>
  <c r="F11" i="100" s="1"/>
  <c r="L11" i="100" s="1"/>
  <c r="AO10" i="100"/>
  <c r="AF10" i="100"/>
  <c r="AC10" i="100"/>
  <c r="Z10" i="100"/>
  <c r="E10" i="100"/>
  <c r="AO9" i="100"/>
  <c r="AF9" i="100"/>
  <c r="AC9" i="100"/>
  <c r="Z9" i="100"/>
  <c r="K9" i="100"/>
  <c r="E9" i="100"/>
  <c r="F9" i="100" s="1"/>
  <c r="AE28" i="99"/>
  <c r="AD28" i="99"/>
  <c r="AB28" i="99"/>
  <c r="AA28" i="99"/>
  <c r="Y28" i="99"/>
  <c r="X28" i="99"/>
  <c r="U28" i="99"/>
  <c r="N28" i="99"/>
  <c r="J28" i="99"/>
  <c r="I28" i="99"/>
  <c r="G28" i="99"/>
  <c r="D28" i="99"/>
  <c r="C28" i="99"/>
  <c r="AL27" i="99"/>
  <c r="AF27" i="99"/>
  <c r="AC27" i="99"/>
  <c r="Z27" i="99"/>
  <c r="H27" i="99"/>
  <c r="E27" i="99"/>
  <c r="F27" i="99" s="1"/>
  <c r="M27" i="99" s="1"/>
  <c r="AL26" i="99"/>
  <c r="AF26" i="99"/>
  <c r="AC26" i="99"/>
  <c r="Z26" i="99"/>
  <c r="AG26" i="99" s="1"/>
  <c r="H26" i="99"/>
  <c r="E26" i="99"/>
  <c r="F26" i="99" s="1"/>
  <c r="AL25" i="99"/>
  <c r="AF25" i="99"/>
  <c r="AC25" i="99"/>
  <c r="Z25" i="99"/>
  <c r="H25" i="99"/>
  <c r="E25" i="99"/>
  <c r="F25" i="99" s="1"/>
  <c r="AL24" i="99"/>
  <c r="AF24" i="99"/>
  <c r="AC24" i="99"/>
  <c r="Z24" i="99"/>
  <c r="K24" i="99"/>
  <c r="H24" i="99"/>
  <c r="E24" i="99"/>
  <c r="F24" i="99" s="1"/>
  <c r="AL23" i="99"/>
  <c r="AF23" i="99"/>
  <c r="AC23" i="99"/>
  <c r="Z23" i="99"/>
  <c r="E23" i="99"/>
  <c r="F23" i="99" s="1"/>
  <c r="L23" i="99" s="1"/>
  <c r="AL22" i="99"/>
  <c r="AF22" i="99"/>
  <c r="AC22" i="99"/>
  <c r="Z22" i="99"/>
  <c r="K22" i="99"/>
  <c r="H22" i="99"/>
  <c r="E22" i="99"/>
  <c r="F22" i="99" s="1"/>
  <c r="L22" i="99" s="1"/>
  <c r="AL21" i="99"/>
  <c r="AF21" i="99"/>
  <c r="AC21" i="99"/>
  <c r="Z21" i="99"/>
  <c r="H21" i="99"/>
  <c r="E21" i="99"/>
  <c r="F21" i="99" s="1"/>
  <c r="AL20" i="99"/>
  <c r="AF20" i="99"/>
  <c r="AC20" i="99"/>
  <c r="Z20" i="99"/>
  <c r="AG20" i="99" s="1"/>
  <c r="AH20" i="99" s="1"/>
  <c r="K20" i="99"/>
  <c r="H20" i="99"/>
  <c r="E20" i="99"/>
  <c r="F20" i="99" s="1"/>
  <c r="AL19" i="99"/>
  <c r="AF19" i="99"/>
  <c r="AC19" i="99"/>
  <c r="Z19" i="99"/>
  <c r="K19" i="99"/>
  <c r="H19" i="99"/>
  <c r="E19" i="99"/>
  <c r="F19" i="99" s="1"/>
  <c r="L19" i="99" s="1"/>
  <c r="AL18" i="99"/>
  <c r="AF18" i="99"/>
  <c r="AC18" i="99"/>
  <c r="Z18" i="99"/>
  <c r="H18" i="99"/>
  <c r="E18" i="99"/>
  <c r="F18" i="99" s="1"/>
  <c r="AL17" i="99"/>
  <c r="AF17" i="99"/>
  <c r="AC17" i="99"/>
  <c r="Z17" i="99"/>
  <c r="K17" i="99"/>
  <c r="H17" i="99"/>
  <c r="E17" i="99"/>
  <c r="F17" i="99" s="1"/>
  <c r="L17" i="99" s="1"/>
  <c r="AL16" i="99"/>
  <c r="AF16" i="99"/>
  <c r="AC16" i="99"/>
  <c r="Z16" i="99"/>
  <c r="K16" i="99"/>
  <c r="H16" i="99"/>
  <c r="E16" i="99"/>
  <c r="F16" i="99" s="1"/>
  <c r="AL15" i="99"/>
  <c r="AF15" i="99"/>
  <c r="AC15" i="99"/>
  <c r="Z15" i="99"/>
  <c r="H15" i="99"/>
  <c r="E15" i="99"/>
  <c r="F15" i="99" s="1"/>
  <c r="AL14" i="99"/>
  <c r="AF14" i="99"/>
  <c r="AC14" i="99"/>
  <c r="Z14" i="99"/>
  <c r="H14" i="99"/>
  <c r="E14" i="99"/>
  <c r="F14" i="99" s="1"/>
  <c r="L14" i="99" s="1"/>
  <c r="AL13" i="99"/>
  <c r="AF13" i="99"/>
  <c r="AC13" i="99"/>
  <c r="Z13" i="99"/>
  <c r="H13" i="99"/>
  <c r="E13" i="99"/>
  <c r="F13" i="99" s="1"/>
  <c r="L13" i="99" s="1"/>
  <c r="AL12" i="99"/>
  <c r="AF12" i="99"/>
  <c r="AC12" i="99"/>
  <c r="Z12" i="99"/>
  <c r="H12" i="99"/>
  <c r="E12" i="99"/>
  <c r="AL11" i="99"/>
  <c r="AF11" i="99"/>
  <c r="AC11" i="99"/>
  <c r="Z11" i="99"/>
  <c r="K11" i="99"/>
  <c r="H11" i="99"/>
  <c r="E11" i="99"/>
  <c r="F11" i="99" s="1"/>
  <c r="L11" i="99" s="1"/>
  <c r="AL10" i="99"/>
  <c r="AF10" i="99"/>
  <c r="AC10" i="99"/>
  <c r="Z10" i="99"/>
  <c r="K10" i="99"/>
  <c r="E10" i="99"/>
  <c r="F10" i="99" s="1"/>
  <c r="L10" i="99" s="1"/>
  <c r="AL9" i="99"/>
  <c r="AF9" i="99"/>
  <c r="AC9" i="99"/>
  <c r="Z9" i="99"/>
  <c r="AG9" i="99" s="1"/>
  <c r="AH9" i="99" s="1"/>
  <c r="K9" i="99"/>
  <c r="E9" i="99"/>
  <c r="F9" i="99" s="1"/>
  <c r="L9" i="99" s="1"/>
  <c r="K14" i="105"/>
  <c r="M17" i="106"/>
  <c r="O17" i="106" s="1"/>
  <c r="P17" i="106" s="1"/>
  <c r="L9" i="107"/>
  <c r="K9" i="107"/>
  <c r="K13" i="106"/>
  <c r="L51" i="108"/>
  <c r="M51" i="108"/>
  <c r="O51" i="108" s="1"/>
  <c r="L15" i="108"/>
  <c r="AG19" i="107"/>
  <c r="AH19" i="107" s="1"/>
  <c r="K14" i="108"/>
  <c r="K16" i="108"/>
  <c r="M26" i="108"/>
  <c r="O26" i="108" s="1"/>
  <c r="O38" i="108"/>
  <c r="P38" i="108" s="1"/>
  <c r="Q38" i="108" s="1"/>
  <c r="L50" i="108"/>
  <c r="M50" i="108" s="1"/>
  <c r="L9" i="108"/>
  <c r="L21" i="109"/>
  <c r="AG19" i="110"/>
  <c r="F13" i="108"/>
  <c r="L13" i="108" s="1"/>
  <c r="L33" i="108"/>
  <c r="M33" i="108" s="1"/>
  <c r="L18" i="110"/>
  <c r="M18" i="110"/>
  <c r="O18" i="110" s="1"/>
  <c r="K43" i="108"/>
  <c r="M43" i="108"/>
  <c r="O43" i="108" s="1"/>
  <c r="P43" i="108" s="1"/>
  <c r="L16" i="110"/>
  <c r="K16" i="110"/>
  <c r="L19" i="110"/>
  <c r="K19" i="110"/>
  <c r="M19" i="110" s="1"/>
  <c r="O19" i="110" s="1"/>
  <c r="L13" i="109"/>
  <c r="L24" i="110"/>
  <c r="M24" i="110" s="1"/>
  <c r="O24" i="110" s="1"/>
  <c r="P24" i="110" s="1"/>
  <c r="L25" i="110"/>
  <c r="M25" i="110" s="1"/>
  <c r="O25" i="110" s="1"/>
  <c r="P25" i="110" s="1"/>
  <c r="K15" i="109"/>
  <c r="M15" i="109" s="1"/>
  <c r="O15" i="109" s="1"/>
  <c r="P15" i="109" s="1"/>
  <c r="K18" i="109"/>
  <c r="M18" i="109" s="1"/>
  <c r="L23" i="109"/>
  <c r="M23" i="109" s="1"/>
  <c r="K12" i="110"/>
  <c r="L24" i="99"/>
  <c r="L21" i="99"/>
  <c r="L10" i="102"/>
  <c r="M17" i="102"/>
  <c r="AG17" i="100"/>
  <c r="AH17" i="100" s="1"/>
  <c r="L20" i="102"/>
  <c r="K20" i="102"/>
  <c r="M17" i="101"/>
  <c r="O17" i="101" s="1"/>
  <c r="P17" i="101" s="1"/>
  <c r="L27" i="102"/>
  <c r="L47" i="102"/>
  <c r="K23" i="102"/>
  <c r="L15" i="103"/>
  <c r="F9" i="104"/>
  <c r="L9" i="104" s="1"/>
  <c r="M9" i="104" s="1"/>
  <c r="O9" i="104" s="1"/>
  <c r="P9" i="104" s="1"/>
  <c r="K14" i="104"/>
  <c r="K21" i="103"/>
  <c r="M20" i="103"/>
  <c r="O20" i="103" s="1"/>
  <c r="P20" i="103" s="1"/>
  <c r="R20" i="103" s="1"/>
  <c r="AG10" i="104"/>
  <c r="AH10" i="104" s="1"/>
  <c r="L24" i="104"/>
  <c r="M24" i="104" s="1"/>
  <c r="O24" i="104" s="1"/>
  <c r="P24" i="104" s="1"/>
  <c r="Q24" i="104" s="1"/>
  <c r="K16" i="104"/>
  <c r="M16" i="104" s="1"/>
  <c r="O16" i="104" s="1"/>
  <c r="O33" i="108"/>
  <c r="P33" i="108" s="1"/>
  <c r="L9" i="105"/>
  <c r="O20" i="109"/>
  <c r="P20" i="109" s="1"/>
  <c r="O17" i="102"/>
  <c r="P17" i="102" s="1"/>
  <c r="Q17" i="102" s="1"/>
  <c r="AL13" i="80"/>
  <c r="AL15" i="80"/>
  <c r="AL11" i="80"/>
  <c r="AL10" i="80"/>
  <c r="AL9" i="80"/>
  <c r="K10" i="80"/>
  <c r="AO10" i="81"/>
  <c r="AO9" i="81"/>
  <c r="AO43" i="84"/>
  <c r="AO34" i="84"/>
  <c r="AO32" i="84"/>
  <c r="AO29" i="84"/>
  <c r="AO28" i="84"/>
  <c r="AO21" i="84"/>
  <c r="AO20" i="84"/>
  <c r="AO16" i="84"/>
  <c r="AO15" i="84"/>
  <c r="AO14" i="84"/>
  <c r="AO12" i="84"/>
  <c r="AO10" i="84"/>
  <c r="AO11" i="84"/>
  <c r="AO9" i="84"/>
  <c r="AO14" i="86"/>
  <c r="AO10" i="86"/>
  <c r="AO9" i="86"/>
  <c r="AO11" i="85"/>
  <c r="AO10" i="85"/>
  <c r="AO9" i="85"/>
  <c r="AG42" i="84"/>
  <c r="K34" i="84"/>
  <c r="K31" i="84"/>
  <c r="K21" i="84"/>
  <c r="K18" i="84"/>
  <c r="H16" i="42"/>
  <c r="E16" i="42"/>
  <c r="D15" i="42"/>
  <c r="C15" i="42"/>
  <c r="D14" i="42"/>
  <c r="C14" i="42"/>
  <c r="D13" i="42"/>
  <c r="C13" i="42"/>
  <c r="G12" i="42"/>
  <c r="F12" i="42"/>
  <c r="F16" i="42" s="1"/>
  <c r="D12" i="42"/>
  <c r="D11" i="42"/>
  <c r="C11" i="42"/>
  <c r="D10" i="42"/>
  <c r="C10" i="42"/>
  <c r="H17" i="80"/>
  <c r="H16" i="80"/>
  <c r="H27" i="86"/>
  <c r="H10" i="86"/>
  <c r="H11" i="86"/>
  <c r="X25" i="85"/>
  <c r="AF23" i="85"/>
  <c r="AC23" i="85"/>
  <c r="Z23" i="85"/>
  <c r="AF20" i="85"/>
  <c r="AC20" i="85"/>
  <c r="Z20" i="85"/>
  <c r="AF19" i="85"/>
  <c r="AC19" i="85"/>
  <c r="Z19" i="85"/>
  <c r="AF18" i="85"/>
  <c r="AC18" i="85"/>
  <c r="Z18" i="85"/>
  <c r="AS9" i="85"/>
  <c r="J17" i="85"/>
  <c r="J25" i="85" s="1"/>
  <c r="H11" i="85"/>
  <c r="E18" i="85"/>
  <c r="F18" i="85" s="1"/>
  <c r="L18" i="85" s="1"/>
  <c r="E19" i="85"/>
  <c r="F19" i="85" s="1"/>
  <c r="E20" i="85"/>
  <c r="F20" i="85" s="1"/>
  <c r="L20" i="85" s="1"/>
  <c r="M20" i="85" s="1"/>
  <c r="E21" i="85"/>
  <c r="F21" i="85" s="1"/>
  <c r="K21" i="85" s="1"/>
  <c r="E22" i="85"/>
  <c r="F22" i="85" s="1"/>
  <c r="L22" i="85" s="1"/>
  <c r="E23" i="85"/>
  <c r="F23" i="85" s="1"/>
  <c r="AL12" i="80"/>
  <c r="AL14" i="80"/>
  <c r="AL16" i="80"/>
  <c r="AL17" i="80"/>
  <c r="AL18" i="80"/>
  <c r="AL19" i="80"/>
  <c r="AL20" i="80"/>
  <c r="AL21" i="80"/>
  <c r="AL22" i="80"/>
  <c r="AL23" i="80"/>
  <c r="AL24" i="80"/>
  <c r="AL25" i="80"/>
  <c r="AL26" i="80"/>
  <c r="W42" i="84"/>
  <c r="K30" i="84"/>
  <c r="K35" i="84"/>
  <c r="K48" i="84"/>
  <c r="K33" i="84"/>
  <c r="K32" i="84"/>
  <c r="K13" i="84"/>
  <c r="K47" i="84"/>
  <c r="K29" i="84"/>
  <c r="H21" i="84"/>
  <c r="H14" i="84"/>
  <c r="H13" i="84"/>
  <c r="G49" i="84"/>
  <c r="G48" i="84"/>
  <c r="G47" i="84"/>
  <c r="G44" i="84"/>
  <c r="C51" i="84"/>
  <c r="C44" i="84"/>
  <c r="E44" i="84" s="1"/>
  <c r="F44" i="84" s="1"/>
  <c r="L44" i="84" s="1"/>
  <c r="C39" i="84"/>
  <c r="E39" i="84" s="1"/>
  <c r="F39" i="84" s="1"/>
  <c r="M39" i="84" s="1"/>
  <c r="C27" i="84"/>
  <c r="C65" i="84" s="1"/>
  <c r="J57" i="84"/>
  <c r="G13" i="111" s="1"/>
  <c r="G16" i="42"/>
  <c r="I57" i="84"/>
  <c r="F13" i="111" s="1"/>
  <c r="K19" i="80"/>
  <c r="K24" i="80"/>
  <c r="K16" i="80"/>
  <c r="K17" i="80"/>
  <c r="K22" i="80"/>
  <c r="K11" i="80"/>
  <c r="K9" i="80"/>
  <c r="K20" i="80"/>
  <c r="K9" i="81"/>
  <c r="K15" i="81"/>
  <c r="AL27" i="80"/>
  <c r="H19" i="80"/>
  <c r="H24" i="80"/>
  <c r="H27" i="80"/>
  <c r="H14" i="80"/>
  <c r="H21" i="80"/>
  <c r="H18" i="80"/>
  <c r="H22" i="80"/>
  <c r="H26" i="80"/>
  <c r="H11" i="80"/>
  <c r="H12" i="80"/>
  <c r="H13" i="80"/>
  <c r="H15" i="80"/>
  <c r="H20" i="80"/>
  <c r="H25" i="80"/>
  <c r="AQ13" i="84"/>
  <c r="AQ17" i="84"/>
  <c r="AQ18" i="84"/>
  <c r="AQ19" i="84"/>
  <c r="AQ22" i="84"/>
  <c r="AQ23" i="84"/>
  <c r="AQ24" i="84"/>
  <c r="AQ25" i="84"/>
  <c r="AQ26" i="84"/>
  <c r="AQ27" i="84"/>
  <c r="AQ30" i="84"/>
  <c r="AQ31" i="84"/>
  <c r="AQ33" i="84"/>
  <c r="AQ35" i="84"/>
  <c r="AQ36" i="84"/>
  <c r="AQ37" i="84"/>
  <c r="AQ38" i="84"/>
  <c r="AQ39" i="84"/>
  <c r="AQ40" i="84"/>
  <c r="AQ41" i="84"/>
  <c r="AQ42" i="84"/>
  <c r="AQ44" i="84"/>
  <c r="AQ45" i="84"/>
  <c r="AQ46" i="84"/>
  <c r="AQ47" i="84"/>
  <c r="AQ48" i="84"/>
  <c r="AQ49" i="84"/>
  <c r="AQ50" i="84"/>
  <c r="AQ51" i="84"/>
  <c r="AQ52" i="84"/>
  <c r="E25" i="86"/>
  <c r="F25" i="86" s="1"/>
  <c r="L25" i="86" s="1"/>
  <c r="M25" i="86" s="1"/>
  <c r="AS25" i="86"/>
  <c r="E24" i="86"/>
  <c r="F24" i="86" s="1"/>
  <c r="AS24" i="86"/>
  <c r="C28" i="86"/>
  <c r="B15" i="111" s="1"/>
  <c r="J34" i="84"/>
  <c r="H46" i="84"/>
  <c r="H40" i="84"/>
  <c r="K26" i="84"/>
  <c r="G22" i="85"/>
  <c r="G25" i="85" s="1"/>
  <c r="H21" i="85"/>
  <c r="H15" i="85"/>
  <c r="H17" i="85"/>
  <c r="H14" i="85"/>
  <c r="H16" i="85"/>
  <c r="H13" i="85"/>
  <c r="H22" i="85"/>
  <c r="K17" i="85"/>
  <c r="G18" i="81"/>
  <c r="G21" i="81" s="1"/>
  <c r="G20" i="81"/>
  <c r="G16" i="81"/>
  <c r="H18" i="81"/>
  <c r="H20" i="81"/>
  <c r="H16" i="81"/>
  <c r="G26" i="86"/>
  <c r="G27" i="86"/>
  <c r="G23" i="86"/>
  <c r="H26" i="86"/>
  <c r="H23" i="86"/>
  <c r="H17" i="86"/>
  <c r="H19" i="86"/>
  <c r="H21" i="86"/>
  <c r="H18" i="86"/>
  <c r="H12" i="86"/>
  <c r="M12" i="86" s="1"/>
  <c r="O12" i="86" s="1"/>
  <c r="P12" i="86" s="1"/>
  <c r="K10" i="86"/>
  <c r="K13" i="86"/>
  <c r="K11" i="86"/>
  <c r="K18" i="86"/>
  <c r="K23" i="86"/>
  <c r="E13" i="84"/>
  <c r="F13" i="84" s="1"/>
  <c r="L13" i="84" s="1"/>
  <c r="E12" i="84"/>
  <c r="F12" i="84" s="1"/>
  <c r="L12" i="84" s="1"/>
  <c r="E10" i="84"/>
  <c r="E11" i="84"/>
  <c r="F11" i="84" s="1"/>
  <c r="K11" i="84" s="1"/>
  <c r="E9" i="84"/>
  <c r="F9" i="84" s="1"/>
  <c r="L9" i="84" s="1"/>
  <c r="AC22" i="86"/>
  <c r="AF19" i="86"/>
  <c r="AC11" i="86"/>
  <c r="AF10" i="86"/>
  <c r="AC22" i="85"/>
  <c r="AF22" i="85"/>
  <c r="AC11" i="85"/>
  <c r="E14" i="84"/>
  <c r="F14" i="84" s="1"/>
  <c r="E15" i="84"/>
  <c r="F15" i="84"/>
  <c r="L15" i="84" s="1"/>
  <c r="E16" i="84"/>
  <c r="F16" i="84" s="1"/>
  <c r="E17" i="84"/>
  <c r="E18" i="84"/>
  <c r="F18" i="84" s="1"/>
  <c r="E19" i="84"/>
  <c r="F19" i="84" s="1"/>
  <c r="K19" i="84" s="1"/>
  <c r="E20" i="84"/>
  <c r="F20" i="84" s="1"/>
  <c r="K20" i="84" s="1"/>
  <c r="E21" i="84"/>
  <c r="F21" i="84" s="1"/>
  <c r="L21" i="84" s="1"/>
  <c r="E22" i="84"/>
  <c r="F22" i="84" s="1"/>
  <c r="E23" i="84"/>
  <c r="F23" i="84" s="1"/>
  <c r="K23" i="84" s="1"/>
  <c r="E24" i="84"/>
  <c r="F24" i="84" s="1"/>
  <c r="L24" i="84" s="1"/>
  <c r="E25" i="84"/>
  <c r="F25" i="84" s="1"/>
  <c r="E26" i="84"/>
  <c r="F26" i="84" s="1"/>
  <c r="L26" i="84" s="1"/>
  <c r="E27" i="84"/>
  <c r="F27" i="84"/>
  <c r="L27" i="84" s="1"/>
  <c r="E28" i="84"/>
  <c r="F28" i="84" s="1"/>
  <c r="E29" i="84"/>
  <c r="F29" i="84"/>
  <c r="L29" i="84" s="1"/>
  <c r="E30" i="84"/>
  <c r="F30" i="84" s="1"/>
  <c r="L30" i="84" s="1"/>
  <c r="E31" i="84"/>
  <c r="F31" i="84" s="1"/>
  <c r="L31" i="84" s="1"/>
  <c r="E32" i="84"/>
  <c r="F32" i="84"/>
  <c r="L32" i="84" s="1"/>
  <c r="E33" i="84"/>
  <c r="F33" i="84" s="1"/>
  <c r="L33" i="84" s="1"/>
  <c r="E34" i="84"/>
  <c r="F34" i="84" s="1"/>
  <c r="E35" i="84"/>
  <c r="F35" i="84" s="1"/>
  <c r="E36" i="84"/>
  <c r="F36" i="84" s="1"/>
  <c r="E37" i="84"/>
  <c r="F37" i="84" s="1"/>
  <c r="E38" i="84"/>
  <c r="F38" i="84" s="1"/>
  <c r="M38" i="84" s="1"/>
  <c r="O38" i="84" s="1"/>
  <c r="E40" i="84"/>
  <c r="F40" i="84" s="1"/>
  <c r="E41" i="84"/>
  <c r="F41" i="84" s="1"/>
  <c r="M41" i="84" s="1"/>
  <c r="O41" i="84" s="1"/>
  <c r="P41" i="84" s="1"/>
  <c r="E43" i="84"/>
  <c r="F43" i="84" s="1"/>
  <c r="L43" i="84" s="1"/>
  <c r="E45" i="84"/>
  <c r="F45" i="84" s="1"/>
  <c r="L45" i="84" s="1"/>
  <c r="E46" i="84"/>
  <c r="F46" i="84" s="1"/>
  <c r="E47" i="84"/>
  <c r="F47" i="84" s="1"/>
  <c r="E48" i="84"/>
  <c r="F48" i="84" s="1"/>
  <c r="L48" i="84" s="1"/>
  <c r="M48" i="84" s="1"/>
  <c r="E49" i="84"/>
  <c r="F49" i="84" s="1"/>
  <c r="E50" i="84"/>
  <c r="F50" i="84" s="1"/>
  <c r="AC9" i="84"/>
  <c r="AF9" i="84"/>
  <c r="AC10" i="84"/>
  <c r="AF10" i="84"/>
  <c r="AC11" i="84"/>
  <c r="AF11" i="84"/>
  <c r="AC12" i="84"/>
  <c r="AF12" i="84"/>
  <c r="AC13" i="84"/>
  <c r="AF13" i="84"/>
  <c r="AC14" i="84"/>
  <c r="AF14" i="84"/>
  <c r="AC15" i="84"/>
  <c r="AF15" i="84"/>
  <c r="AC16" i="84"/>
  <c r="AF16" i="84"/>
  <c r="AC17" i="84"/>
  <c r="AF17" i="84"/>
  <c r="AC18" i="84"/>
  <c r="AF18" i="84"/>
  <c r="AC19" i="84"/>
  <c r="AF19" i="84"/>
  <c r="AC20" i="84"/>
  <c r="AF20" i="84"/>
  <c r="AC21" i="84"/>
  <c r="AF21" i="84"/>
  <c r="AC22" i="84"/>
  <c r="AF22" i="84"/>
  <c r="AC23" i="84"/>
  <c r="AF23" i="84"/>
  <c r="AC24" i="84"/>
  <c r="AF24" i="84"/>
  <c r="AC25" i="84"/>
  <c r="AF25" i="84"/>
  <c r="AC26" i="84"/>
  <c r="AF26" i="84"/>
  <c r="AC27" i="84"/>
  <c r="AF27" i="84"/>
  <c r="AC28" i="84"/>
  <c r="AF28" i="84"/>
  <c r="AC29" i="84"/>
  <c r="AF29" i="84"/>
  <c r="AC30" i="84"/>
  <c r="AF30" i="84"/>
  <c r="AC31" i="84"/>
  <c r="AF31" i="84"/>
  <c r="AC32" i="84"/>
  <c r="AF32" i="84"/>
  <c r="AC33" i="84"/>
  <c r="AF33" i="84"/>
  <c r="AC34" i="84"/>
  <c r="AF34" i="84"/>
  <c r="AC35" i="84"/>
  <c r="AF35" i="84"/>
  <c r="AG35" i="84" s="1"/>
  <c r="AH35" i="84" s="1"/>
  <c r="AC36" i="84"/>
  <c r="AF36" i="84"/>
  <c r="AC37" i="84"/>
  <c r="AF37" i="84"/>
  <c r="AC38" i="84"/>
  <c r="AF38" i="84"/>
  <c r="AC39" i="84"/>
  <c r="AF39" i="84"/>
  <c r="AC40" i="84"/>
  <c r="AF40" i="84"/>
  <c r="AC41" i="84"/>
  <c r="AF41" i="84"/>
  <c r="AC43" i="84"/>
  <c r="AF43" i="84"/>
  <c r="AC44" i="84"/>
  <c r="AF44" i="84"/>
  <c r="AC45" i="84"/>
  <c r="AF45" i="84"/>
  <c r="AC46" i="84"/>
  <c r="AF46" i="84"/>
  <c r="AC47" i="84"/>
  <c r="AF47" i="84"/>
  <c r="AC48" i="84"/>
  <c r="AF48" i="84"/>
  <c r="AC49" i="84"/>
  <c r="AF49" i="84"/>
  <c r="AC50" i="84"/>
  <c r="AF50" i="84"/>
  <c r="AC51" i="84"/>
  <c r="AF51" i="84"/>
  <c r="Z21" i="80"/>
  <c r="AC21" i="80"/>
  <c r="AF21" i="80"/>
  <c r="E21" i="80"/>
  <c r="F21" i="80" s="1"/>
  <c r="L21" i="80" s="1"/>
  <c r="E23" i="80"/>
  <c r="F23" i="80" s="1"/>
  <c r="L23" i="80" s="1"/>
  <c r="Z23" i="80"/>
  <c r="AG23" i="80" s="1"/>
  <c r="AH23" i="80" s="1"/>
  <c r="AC23" i="80"/>
  <c r="AF23" i="80"/>
  <c r="E12" i="80"/>
  <c r="F12" i="80" s="1"/>
  <c r="L12" i="80" s="1"/>
  <c r="M12" i="80" s="1"/>
  <c r="Z12" i="80"/>
  <c r="AG12" i="80" s="1"/>
  <c r="AC12" i="80"/>
  <c r="AF12" i="80"/>
  <c r="C28" i="80"/>
  <c r="B10" i="111" s="1"/>
  <c r="AC9" i="86"/>
  <c r="AF9" i="86"/>
  <c r="AC10" i="86"/>
  <c r="AG10" i="86" s="1"/>
  <c r="AF11" i="86"/>
  <c r="AC12" i="86"/>
  <c r="AG12" i="86" s="1"/>
  <c r="AF12" i="86"/>
  <c r="AC13" i="86"/>
  <c r="AF13" i="86"/>
  <c r="AC14" i="86"/>
  <c r="AG14" i="86" s="1"/>
  <c r="AH14" i="86" s="1"/>
  <c r="AF14" i="86"/>
  <c r="AC15" i="86"/>
  <c r="AF15" i="86"/>
  <c r="AC16" i="86"/>
  <c r="AF16" i="86"/>
  <c r="AC17" i="86"/>
  <c r="AF17" i="86"/>
  <c r="AC18" i="86"/>
  <c r="AG18" i="86" s="1"/>
  <c r="AH18" i="86" s="1"/>
  <c r="AF18" i="86"/>
  <c r="AC19" i="86"/>
  <c r="AC20" i="86"/>
  <c r="AF20" i="86"/>
  <c r="AC21" i="86"/>
  <c r="AF21" i="86"/>
  <c r="AF22" i="86"/>
  <c r="AC23" i="86"/>
  <c r="AF23" i="86"/>
  <c r="AC26" i="86"/>
  <c r="AF26" i="86"/>
  <c r="AG26" i="86" s="1"/>
  <c r="AH26" i="86" s="1"/>
  <c r="AC27" i="86"/>
  <c r="AF27" i="86"/>
  <c r="AC13" i="81"/>
  <c r="AF10" i="81"/>
  <c r="AC11" i="81"/>
  <c r="AC9" i="80"/>
  <c r="AF9" i="80"/>
  <c r="AC10" i="80"/>
  <c r="AF10" i="80"/>
  <c r="AC11" i="80"/>
  <c r="AF11" i="80"/>
  <c r="AC13" i="80"/>
  <c r="AF13" i="80"/>
  <c r="AC14" i="80"/>
  <c r="AF14" i="80"/>
  <c r="AC15" i="80"/>
  <c r="AF15" i="80"/>
  <c r="AC16" i="80"/>
  <c r="AF16" i="80"/>
  <c r="AC17" i="80"/>
  <c r="AF17" i="80"/>
  <c r="AC18" i="80"/>
  <c r="AF18" i="80"/>
  <c r="AC19" i="80"/>
  <c r="AF19" i="80"/>
  <c r="AC20" i="80"/>
  <c r="AF20" i="80"/>
  <c r="AC22" i="80"/>
  <c r="AF22" i="80"/>
  <c r="AC24" i="80"/>
  <c r="AF24" i="80"/>
  <c r="AC25" i="80"/>
  <c r="AF25" i="80"/>
  <c r="AC26" i="80"/>
  <c r="AF26" i="80"/>
  <c r="AC27" i="80"/>
  <c r="AG27" i="80" s="1"/>
  <c r="AH27" i="80" s="1"/>
  <c r="AF27" i="80"/>
  <c r="Z18" i="86"/>
  <c r="Z17" i="86"/>
  <c r="Z21" i="86"/>
  <c r="Z11" i="86"/>
  <c r="AG11" i="86" s="1"/>
  <c r="Z14" i="86"/>
  <c r="Z26" i="86"/>
  <c r="Z15" i="86"/>
  <c r="AG15" i="86" s="1"/>
  <c r="AH15" i="86" s="1"/>
  <c r="Z9" i="86"/>
  <c r="AG9" i="86" s="1"/>
  <c r="Z10" i="86"/>
  <c r="Z12" i="86"/>
  <c r="Z13" i="86"/>
  <c r="AG13" i="86" s="1"/>
  <c r="AH13" i="86" s="1"/>
  <c r="Z16" i="86"/>
  <c r="AG16" i="86" s="1"/>
  <c r="AH16" i="86" s="1"/>
  <c r="Z19" i="86"/>
  <c r="Z20" i="86"/>
  <c r="Z22" i="86"/>
  <c r="AG22" i="86" s="1"/>
  <c r="AH22" i="86" s="1"/>
  <c r="Z23" i="86"/>
  <c r="AG23" i="86" s="1"/>
  <c r="AH23" i="86" s="1"/>
  <c r="Z27" i="86"/>
  <c r="E18" i="86"/>
  <c r="F18" i="86" s="1"/>
  <c r="L18" i="86" s="1"/>
  <c r="E9" i="86"/>
  <c r="F9" i="86" s="1"/>
  <c r="L9" i="86" s="1"/>
  <c r="E10" i="86"/>
  <c r="F10" i="86" s="1"/>
  <c r="E11" i="86"/>
  <c r="F11" i="86" s="1"/>
  <c r="L11" i="86" s="1"/>
  <c r="E12" i="86"/>
  <c r="F12" i="86" s="1"/>
  <c r="L12" i="86" s="1"/>
  <c r="E13" i="86"/>
  <c r="F13" i="86" s="1"/>
  <c r="L13" i="86" s="1"/>
  <c r="M13" i="86" s="1"/>
  <c r="E14" i="86"/>
  <c r="F14" i="86" s="1"/>
  <c r="L14" i="86" s="1"/>
  <c r="E15" i="86"/>
  <c r="F15" i="86" s="1"/>
  <c r="L15" i="86" s="1"/>
  <c r="E16" i="86"/>
  <c r="F16" i="86" s="1"/>
  <c r="K16" i="86" s="1"/>
  <c r="E17" i="86"/>
  <c r="F17" i="86" s="1"/>
  <c r="E19" i="86"/>
  <c r="F19" i="86" s="1"/>
  <c r="E20" i="86"/>
  <c r="F20" i="86" s="1"/>
  <c r="L20" i="86" s="1"/>
  <c r="E21" i="86"/>
  <c r="F21" i="86" s="1"/>
  <c r="E22" i="86"/>
  <c r="F22" i="86"/>
  <c r="L22" i="86" s="1"/>
  <c r="E23" i="86"/>
  <c r="F23" i="86" s="1"/>
  <c r="L23" i="86" s="1"/>
  <c r="E26" i="86"/>
  <c r="F26" i="86" s="1"/>
  <c r="E27" i="86"/>
  <c r="F27" i="86" s="1"/>
  <c r="M27" i="86" s="1"/>
  <c r="B15" i="42"/>
  <c r="Z15" i="85"/>
  <c r="Z22" i="85"/>
  <c r="Z11" i="85"/>
  <c r="Z21" i="85"/>
  <c r="Z16" i="85"/>
  <c r="Z28" i="84"/>
  <c r="AG28" i="84" s="1"/>
  <c r="Z29" i="84"/>
  <c r="Z30" i="84"/>
  <c r="Z31" i="84"/>
  <c r="Z32" i="84"/>
  <c r="Z33" i="84"/>
  <c r="Z34" i="84"/>
  <c r="AG34" i="84" s="1"/>
  <c r="Z35" i="84"/>
  <c r="Z36" i="84"/>
  <c r="Z37" i="84"/>
  <c r="Z38" i="84"/>
  <c r="Z39" i="84"/>
  <c r="Z40" i="84"/>
  <c r="Z41" i="84"/>
  <c r="AG41" i="84" s="1"/>
  <c r="AH41" i="84" s="1"/>
  <c r="Z43" i="84"/>
  <c r="Z44" i="84"/>
  <c r="Z45" i="84"/>
  <c r="Z46" i="84"/>
  <c r="Z47" i="84"/>
  <c r="AG47" i="84" s="1"/>
  <c r="Z48" i="84"/>
  <c r="Z49" i="84"/>
  <c r="Z50" i="84"/>
  <c r="Z51" i="84"/>
  <c r="AG51" i="84" s="1"/>
  <c r="Z9" i="81"/>
  <c r="Z13" i="81"/>
  <c r="Z10" i="81"/>
  <c r="Z16" i="81"/>
  <c r="Z18" i="81"/>
  <c r="Z17" i="81"/>
  <c r="Z11" i="81"/>
  <c r="Z19" i="81"/>
  <c r="Z12" i="81"/>
  <c r="E10" i="80"/>
  <c r="F10" i="80" s="1"/>
  <c r="L10" i="80" s="1"/>
  <c r="E20" i="80"/>
  <c r="F20" i="80" s="1"/>
  <c r="L20" i="80" s="1"/>
  <c r="E15" i="80"/>
  <c r="F15" i="80" s="1"/>
  <c r="E9" i="80"/>
  <c r="E11" i="80"/>
  <c r="F11" i="80" s="1"/>
  <c r="L11" i="80" s="1"/>
  <c r="E13" i="80"/>
  <c r="F13" i="80" s="1"/>
  <c r="E16" i="80"/>
  <c r="F16" i="80" s="1"/>
  <c r="L16" i="80" s="1"/>
  <c r="M16" i="80" s="1"/>
  <c r="E17" i="80"/>
  <c r="F17" i="80" s="1"/>
  <c r="E18" i="80"/>
  <c r="F18" i="80" s="1"/>
  <c r="E19" i="80"/>
  <c r="F19" i="80" s="1"/>
  <c r="L19" i="80" s="1"/>
  <c r="E22" i="80"/>
  <c r="F22" i="80" s="1"/>
  <c r="L22" i="80" s="1"/>
  <c r="E24" i="80"/>
  <c r="F24" i="80" s="1"/>
  <c r="L24" i="80" s="1"/>
  <c r="E25" i="80"/>
  <c r="F25" i="80" s="1"/>
  <c r="E26" i="80"/>
  <c r="F26" i="80" s="1"/>
  <c r="E27" i="80"/>
  <c r="F27" i="80" s="1"/>
  <c r="M27" i="80" s="1"/>
  <c r="O27" i="80" s="1"/>
  <c r="E14" i="80"/>
  <c r="F14" i="80" s="1"/>
  <c r="Z9" i="80"/>
  <c r="AG9" i="80" s="1"/>
  <c r="Z11" i="80"/>
  <c r="Z13" i="80"/>
  <c r="Z16" i="80"/>
  <c r="Z17" i="80"/>
  <c r="Z19" i="80"/>
  <c r="Z20" i="80"/>
  <c r="AG20" i="80" s="1"/>
  <c r="Z22" i="80"/>
  <c r="Z24" i="80"/>
  <c r="Z25" i="80"/>
  <c r="Z10" i="80"/>
  <c r="Z14" i="80"/>
  <c r="Z15" i="80"/>
  <c r="Z18" i="80"/>
  <c r="AG18" i="80" s="1"/>
  <c r="AH18" i="80" s="1"/>
  <c r="Z26" i="80"/>
  <c r="Z27" i="80"/>
  <c r="E9" i="85"/>
  <c r="E10" i="85"/>
  <c r="F10" i="85"/>
  <c r="L10" i="85" s="1"/>
  <c r="E11" i="85"/>
  <c r="F11" i="85" s="1"/>
  <c r="E12" i="85"/>
  <c r="F12" i="85" s="1"/>
  <c r="L12" i="85" s="1"/>
  <c r="E13" i="85"/>
  <c r="F13" i="85" s="1"/>
  <c r="E14" i="85"/>
  <c r="F14" i="85" s="1"/>
  <c r="E15" i="85"/>
  <c r="F15" i="85" s="1"/>
  <c r="E16" i="85"/>
  <c r="F16" i="85" s="1"/>
  <c r="E17" i="85"/>
  <c r="F17" i="85" s="1"/>
  <c r="L17" i="85" s="1"/>
  <c r="E24" i="85"/>
  <c r="F24" i="85" s="1"/>
  <c r="M24" i="85" s="1"/>
  <c r="Z11" i="84"/>
  <c r="Z12" i="84"/>
  <c r="Z9" i="84"/>
  <c r="Z10" i="84"/>
  <c r="AG10" i="84" s="1"/>
  <c r="Z13" i="84"/>
  <c r="Z14" i="84"/>
  <c r="Z15" i="84"/>
  <c r="Z16" i="84"/>
  <c r="AG16" i="84" s="1"/>
  <c r="Z17" i="84"/>
  <c r="Z18" i="84"/>
  <c r="Z19" i="84"/>
  <c r="Z20" i="84"/>
  <c r="AG20" i="84" s="1"/>
  <c r="Z21" i="84"/>
  <c r="Z22" i="84"/>
  <c r="Z23" i="84"/>
  <c r="Z24" i="84"/>
  <c r="Z25" i="84"/>
  <c r="Z26" i="84"/>
  <c r="Z27" i="84"/>
  <c r="AE52" i="84"/>
  <c r="AD52" i="84"/>
  <c r="AB52" i="84"/>
  <c r="AA52" i="84"/>
  <c r="Y52" i="84"/>
  <c r="X52" i="84"/>
  <c r="U52" i="84"/>
  <c r="N52" i="84"/>
  <c r="I52" i="84"/>
  <c r="D52" i="84"/>
  <c r="E9" i="81"/>
  <c r="F9" i="81" s="1"/>
  <c r="E10" i="81"/>
  <c r="F10" i="81" s="1"/>
  <c r="E11" i="81"/>
  <c r="F11" i="81" s="1"/>
  <c r="L11" i="81" s="1"/>
  <c r="E12" i="81"/>
  <c r="F12" i="81" s="1"/>
  <c r="E13" i="81"/>
  <c r="F13" i="81" s="1"/>
  <c r="E14" i="81"/>
  <c r="F14" i="81" s="1"/>
  <c r="L14" i="81" s="1"/>
  <c r="E15" i="81"/>
  <c r="F15" i="81" s="1"/>
  <c r="E16" i="81"/>
  <c r="F16" i="81" s="1"/>
  <c r="E17" i="81"/>
  <c r="F17" i="81" s="1"/>
  <c r="E18" i="81"/>
  <c r="F18" i="81" s="1"/>
  <c r="E19" i="81"/>
  <c r="F19" i="81" s="1"/>
  <c r="L19" i="81" s="1"/>
  <c r="E20" i="81"/>
  <c r="F20" i="81" s="1"/>
  <c r="AS21" i="86"/>
  <c r="AE28" i="86"/>
  <c r="AD28" i="86"/>
  <c r="AB28" i="86"/>
  <c r="AA28" i="86"/>
  <c r="Y28" i="86"/>
  <c r="X28" i="86"/>
  <c r="J28" i="86"/>
  <c r="I28" i="86"/>
  <c r="D28" i="86"/>
  <c r="AS27" i="86"/>
  <c r="AS26" i="86"/>
  <c r="AS23" i="86"/>
  <c r="AS22" i="86"/>
  <c r="AS20" i="86"/>
  <c r="AS19" i="86"/>
  <c r="AS18" i="86"/>
  <c r="AS17" i="86"/>
  <c r="AS16" i="86"/>
  <c r="AS15" i="86"/>
  <c r="AS14" i="86"/>
  <c r="AS13" i="86"/>
  <c r="AS12" i="86"/>
  <c r="AS11" i="86"/>
  <c r="AS10" i="86"/>
  <c r="AS9" i="86"/>
  <c r="N28" i="86"/>
  <c r="AE25" i="85"/>
  <c r="AD25" i="85"/>
  <c r="AB25" i="85"/>
  <c r="AA25" i="85"/>
  <c r="Y25" i="85"/>
  <c r="U25" i="85"/>
  <c r="I25" i="85"/>
  <c r="D25" i="85"/>
  <c r="C25" i="85"/>
  <c r="AS24" i="85"/>
  <c r="AF24" i="85"/>
  <c r="AC24" i="85"/>
  <c r="Z24" i="85"/>
  <c r="AS22" i="85"/>
  <c r="AS21" i="85"/>
  <c r="AF21" i="85"/>
  <c r="AC21" i="85"/>
  <c r="AS17" i="85"/>
  <c r="AF17" i="85"/>
  <c r="AC17" i="85"/>
  <c r="Z17" i="85"/>
  <c r="AS16" i="85"/>
  <c r="AF16" i="85"/>
  <c r="AC16" i="85"/>
  <c r="AS15" i="85"/>
  <c r="AF15" i="85"/>
  <c r="AC15" i="85"/>
  <c r="AG15" i="85" s="1"/>
  <c r="AS14" i="85"/>
  <c r="AF14" i="85"/>
  <c r="AC14" i="85"/>
  <c r="Z14" i="85"/>
  <c r="AS13" i="85"/>
  <c r="AF13" i="85"/>
  <c r="AC13" i="85"/>
  <c r="Z13" i="85"/>
  <c r="AS12" i="85"/>
  <c r="AF12" i="85"/>
  <c r="AC12" i="85"/>
  <c r="Z12" i="85"/>
  <c r="AS11" i="85"/>
  <c r="AF11" i="85"/>
  <c r="AS10" i="85"/>
  <c r="AF10" i="85"/>
  <c r="AC10" i="85"/>
  <c r="Z10" i="85"/>
  <c r="AF9" i="85"/>
  <c r="AC9" i="85"/>
  <c r="AG9" i="85" s="1"/>
  <c r="Z9" i="85"/>
  <c r="U66" i="84"/>
  <c r="N66" i="84"/>
  <c r="J66" i="84"/>
  <c r="I66" i="84"/>
  <c r="G66" i="84"/>
  <c r="D66" i="84"/>
  <c r="C66" i="84"/>
  <c r="U65" i="84"/>
  <c r="N65" i="84"/>
  <c r="I65" i="84"/>
  <c r="G65" i="84"/>
  <c r="D65" i="84"/>
  <c r="U64" i="84"/>
  <c r="N64" i="84"/>
  <c r="J64" i="84"/>
  <c r="I64" i="84"/>
  <c r="G64" i="84"/>
  <c r="D64" i="84"/>
  <c r="C64" i="84"/>
  <c r="H66" i="84"/>
  <c r="H64" i="84"/>
  <c r="AE21" i="81"/>
  <c r="AD21" i="81"/>
  <c r="AB21" i="81"/>
  <c r="AA21" i="81"/>
  <c r="Y21" i="81"/>
  <c r="X21" i="81"/>
  <c r="U21" i="81"/>
  <c r="J21" i="81"/>
  <c r="I21" i="81"/>
  <c r="D21" i="81"/>
  <c r="C21" i="81"/>
  <c r="AF20" i="81"/>
  <c r="AC20" i="81"/>
  <c r="Z20" i="81"/>
  <c r="AF19" i="81"/>
  <c r="AC19" i="81"/>
  <c r="AF18" i="81"/>
  <c r="AC18" i="81"/>
  <c r="AF17" i="81"/>
  <c r="AC17" i="81"/>
  <c r="AF16" i="81"/>
  <c r="AC16" i="81"/>
  <c r="AF15" i="81"/>
  <c r="AC15" i="81"/>
  <c r="Z15" i="81"/>
  <c r="AF14" i="81"/>
  <c r="AC14" i="81"/>
  <c r="Z14" i="81"/>
  <c r="AF13" i="81"/>
  <c r="AF12" i="81"/>
  <c r="AC12" i="81"/>
  <c r="AF11" i="81"/>
  <c r="AC10" i="81"/>
  <c r="AF9" i="81"/>
  <c r="AC9" i="81"/>
  <c r="AE28" i="80"/>
  <c r="AD28" i="80"/>
  <c r="AB28" i="80"/>
  <c r="AA28" i="80"/>
  <c r="Y28" i="80"/>
  <c r="X28" i="80"/>
  <c r="U28" i="80"/>
  <c r="N28" i="80"/>
  <c r="J28" i="80"/>
  <c r="G28" i="80"/>
  <c r="D28" i="80"/>
  <c r="I28" i="80"/>
  <c r="C12" i="42"/>
  <c r="C11" i="111"/>
  <c r="AG32" i="84"/>
  <c r="AG38" i="84"/>
  <c r="AG26" i="84"/>
  <c r="L9" i="81"/>
  <c r="AG19" i="86"/>
  <c r="AG27" i="86"/>
  <c r="AH27" i="86" s="1"/>
  <c r="K15" i="86"/>
  <c r="AG21" i="86"/>
  <c r="AH21" i="86" s="1"/>
  <c r="L21" i="86"/>
  <c r="L15" i="85"/>
  <c r="L13" i="85"/>
  <c r="L11" i="85"/>
  <c r="P38" i="84"/>
  <c r="R38" i="84" s="1"/>
  <c r="L20" i="84"/>
  <c r="L46" i="84"/>
  <c r="M12" i="84"/>
  <c r="L47" i="84"/>
  <c r="J32" i="84"/>
  <c r="J25" i="84"/>
  <c r="K25" i="84"/>
  <c r="F17" i="84"/>
  <c r="L25" i="84"/>
  <c r="L34" i="84"/>
  <c r="M29" i="84"/>
  <c r="O29" i="84" s="1"/>
  <c r="L18" i="84"/>
  <c r="J23" i="84"/>
  <c r="K15" i="84"/>
  <c r="AG11" i="80"/>
  <c r="AH11" i="80" s="1"/>
  <c r="AG16" i="80"/>
  <c r="AH16" i="80" s="1"/>
  <c r="L14" i="80"/>
  <c r="AG14" i="80"/>
  <c r="AG24" i="80"/>
  <c r="AH24" i="80" s="1"/>
  <c r="AH9" i="80"/>
  <c r="M21" i="80"/>
  <c r="L17" i="80"/>
  <c r="M17" i="80" s="1"/>
  <c r="K12" i="86"/>
  <c r="AG17" i="86"/>
  <c r="AH17" i="86" s="1"/>
  <c r="B12" i="42"/>
  <c r="B11" i="111"/>
  <c r="M45" i="84"/>
  <c r="M19" i="80"/>
  <c r="O19" i="80" s="1"/>
  <c r="P19" i="80" s="1"/>
  <c r="K12" i="42"/>
  <c r="N12" i="42" s="1"/>
  <c r="J12" i="42"/>
  <c r="J11" i="111"/>
  <c r="P11" i="111" s="1"/>
  <c r="V11" i="111" s="1"/>
  <c r="I11" i="111"/>
  <c r="O11" i="111" s="1"/>
  <c r="U11" i="111" s="1"/>
  <c r="I12" i="42"/>
  <c r="L43" i="102" l="1"/>
  <c r="AG48" i="102"/>
  <c r="AG9" i="103"/>
  <c r="AH9" i="103" s="1"/>
  <c r="AG19" i="103"/>
  <c r="AH19" i="103" s="1"/>
  <c r="E21" i="106"/>
  <c r="AF23" i="107"/>
  <c r="M21" i="108"/>
  <c r="O21" i="108" s="1"/>
  <c r="P21" i="108" s="1"/>
  <c r="Q21" i="108" s="1"/>
  <c r="AG23" i="108"/>
  <c r="AG38" i="108"/>
  <c r="AH38" i="108" s="1"/>
  <c r="AF25" i="109"/>
  <c r="Z25" i="109"/>
  <c r="AF52" i="84"/>
  <c r="Z28" i="86"/>
  <c r="M33" i="84"/>
  <c r="O33" i="84" s="1"/>
  <c r="AG15" i="84"/>
  <c r="AH15" i="84" s="1"/>
  <c r="AG9" i="84"/>
  <c r="AG25" i="80"/>
  <c r="AH25" i="80" s="1"/>
  <c r="AG33" i="84"/>
  <c r="AH33" i="84" s="1"/>
  <c r="R38" i="108"/>
  <c r="S38" i="108" s="1"/>
  <c r="T38" i="108" s="1"/>
  <c r="V38" i="108" s="1"/>
  <c r="L30" i="108"/>
  <c r="J24" i="108"/>
  <c r="E66" i="84"/>
  <c r="G67" i="84"/>
  <c r="AG17" i="81"/>
  <c r="AG22" i="85"/>
  <c r="AH22" i="85" s="1"/>
  <c r="AG20" i="86"/>
  <c r="AH20" i="86" s="1"/>
  <c r="AH9" i="108"/>
  <c r="K13" i="99"/>
  <c r="L14" i="109"/>
  <c r="M46" i="108"/>
  <c r="L10" i="108"/>
  <c r="M10" i="108" s="1"/>
  <c r="O10" i="108" s="1"/>
  <c r="P10" i="108" s="1"/>
  <c r="R10" i="108" s="1"/>
  <c r="AC52" i="102"/>
  <c r="K16" i="102"/>
  <c r="M16" i="102" s="1"/>
  <c r="O16" i="102" s="1"/>
  <c r="AG18" i="102"/>
  <c r="M34" i="102"/>
  <c r="O34" i="102" s="1"/>
  <c r="AG11" i="104"/>
  <c r="AH11" i="104" s="1"/>
  <c r="AG12" i="104"/>
  <c r="AH12" i="104" s="1"/>
  <c r="AG16" i="105"/>
  <c r="AH16" i="105" s="1"/>
  <c r="M20" i="105"/>
  <c r="O20" i="105" s="1"/>
  <c r="AG21" i="108"/>
  <c r="AH21" i="108" s="1"/>
  <c r="M23" i="86"/>
  <c r="O23" i="86" s="1"/>
  <c r="P23" i="86" s="1"/>
  <c r="M12" i="110"/>
  <c r="O12" i="110" s="1"/>
  <c r="P12" i="110" s="1"/>
  <c r="R12" i="110" s="1"/>
  <c r="AH19" i="110"/>
  <c r="AG19" i="80"/>
  <c r="AH19" i="80" s="1"/>
  <c r="AG22" i="80"/>
  <c r="AH22" i="80" s="1"/>
  <c r="AG44" i="84"/>
  <c r="AH44" i="84" s="1"/>
  <c r="AG17" i="84"/>
  <c r="AH17" i="84" s="1"/>
  <c r="AG13" i="84"/>
  <c r="AH13" i="84" s="1"/>
  <c r="AC52" i="84"/>
  <c r="J23" i="102"/>
  <c r="K14" i="86"/>
  <c r="M14" i="86" s="1"/>
  <c r="L12" i="42"/>
  <c r="L23" i="84"/>
  <c r="C67" i="84"/>
  <c r="M21" i="84"/>
  <c r="O21" i="84" s="1"/>
  <c r="P21" i="84" s="1"/>
  <c r="AF28" i="86"/>
  <c r="H25" i="85"/>
  <c r="M44" i="84"/>
  <c r="O44" i="84" s="1"/>
  <c r="P44" i="84" s="1"/>
  <c r="H65" i="84"/>
  <c r="H67" i="84" s="1"/>
  <c r="AG20" i="85"/>
  <c r="M12" i="42"/>
  <c r="M11" i="104"/>
  <c r="O11" i="104" s="1"/>
  <c r="P11" i="104" s="1"/>
  <c r="M21" i="103"/>
  <c r="O21" i="103" s="1"/>
  <c r="P21" i="103" s="1"/>
  <c r="P24" i="103"/>
  <c r="R24" i="103" s="1"/>
  <c r="C65" i="102"/>
  <c r="C67" i="102" s="1"/>
  <c r="K14" i="99"/>
  <c r="AH14" i="105"/>
  <c r="AG9" i="100"/>
  <c r="AH9" i="100" s="1"/>
  <c r="AG15" i="100"/>
  <c r="AG9" i="101"/>
  <c r="D67" i="102"/>
  <c r="I67" i="102"/>
  <c r="H25" i="103"/>
  <c r="M23" i="104"/>
  <c r="AG15" i="105"/>
  <c r="M16" i="105"/>
  <c r="O16" i="105" s="1"/>
  <c r="P16" i="105" s="1"/>
  <c r="J23" i="107"/>
  <c r="AG13" i="108"/>
  <c r="M10" i="110"/>
  <c r="O10" i="110" s="1"/>
  <c r="P10" i="110" s="1"/>
  <c r="Q10" i="110" s="1"/>
  <c r="L16" i="99"/>
  <c r="M16" i="99"/>
  <c r="O16" i="99" s="1"/>
  <c r="P16" i="99" s="1"/>
  <c r="Q16" i="99" s="1"/>
  <c r="L22" i="109"/>
  <c r="K22" i="109"/>
  <c r="AG27" i="84"/>
  <c r="AH27" i="84" s="1"/>
  <c r="AG23" i="84"/>
  <c r="AH23" i="84" s="1"/>
  <c r="AG19" i="84"/>
  <c r="AH19" i="84" s="1"/>
  <c r="P18" i="110"/>
  <c r="R18" i="110" s="1"/>
  <c r="AG9" i="104"/>
  <c r="AH9" i="104" s="1"/>
  <c r="L22" i="104"/>
  <c r="M22" i="104" s="1"/>
  <c r="O22" i="104" s="1"/>
  <c r="P22" i="104" s="1"/>
  <c r="L19" i="102"/>
  <c r="M19" i="102" s="1"/>
  <c r="E64" i="102"/>
  <c r="L28" i="102"/>
  <c r="K13" i="100"/>
  <c r="M13" i="100" s="1"/>
  <c r="O13" i="100" s="1"/>
  <c r="AH20" i="110"/>
  <c r="L14" i="110"/>
  <c r="M14" i="110" s="1"/>
  <c r="J28" i="108"/>
  <c r="M15" i="106"/>
  <c r="O15" i="106" s="1"/>
  <c r="P15" i="106" s="1"/>
  <c r="Q15" i="106" s="1"/>
  <c r="H65" i="102"/>
  <c r="H67" i="102" s="1"/>
  <c r="AG14" i="102"/>
  <c r="AH14" i="102" s="1"/>
  <c r="AG22" i="102"/>
  <c r="AH22" i="102" s="1"/>
  <c r="M40" i="102"/>
  <c r="O40" i="102" s="1"/>
  <c r="P40" i="102" s="1"/>
  <c r="R40" i="102" s="1"/>
  <c r="M43" i="102"/>
  <c r="O43" i="102" s="1"/>
  <c r="P43" i="102" s="1"/>
  <c r="AG12" i="103"/>
  <c r="AH12" i="103" s="1"/>
  <c r="AG9" i="105"/>
  <c r="AH9" i="105" s="1"/>
  <c r="AC28" i="105"/>
  <c r="Z21" i="106"/>
  <c r="AG14" i="107"/>
  <c r="L12" i="100"/>
  <c r="M12" i="100"/>
  <c r="O12" i="100" s="1"/>
  <c r="P12" i="100" s="1"/>
  <c r="L14" i="103"/>
  <c r="K14" i="103"/>
  <c r="M14" i="103" s="1"/>
  <c r="O14" i="103" s="1"/>
  <c r="P14" i="103" s="1"/>
  <c r="K22" i="103"/>
  <c r="L22" i="103"/>
  <c r="L10" i="104"/>
  <c r="M10" i="104"/>
  <c r="L19" i="108"/>
  <c r="K19" i="108"/>
  <c r="J24" i="84"/>
  <c r="C16" i="111"/>
  <c r="M26" i="80"/>
  <c r="AG50" i="84"/>
  <c r="AH50" i="84" s="1"/>
  <c r="AG46" i="84"/>
  <c r="AH46" i="84" s="1"/>
  <c r="AG37" i="84"/>
  <c r="AH37" i="84" s="1"/>
  <c r="AG29" i="84"/>
  <c r="L11" i="102"/>
  <c r="M9" i="105"/>
  <c r="AH13" i="110"/>
  <c r="L16" i="103"/>
  <c r="M16" i="103" s="1"/>
  <c r="O16" i="103" s="1"/>
  <c r="P16" i="103" s="1"/>
  <c r="L10" i="103"/>
  <c r="J28" i="102"/>
  <c r="L14" i="102"/>
  <c r="M14" i="102" s="1"/>
  <c r="O14" i="102" s="1"/>
  <c r="P14" i="102" s="1"/>
  <c r="M10" i="101"/>
  <c r="O10" i="101" s="1"/>
  <c r="M14" i="100"/>
  <c r="O14" i="100" s="1"/>
  <c r="P14" i="100" s="1"/>
  <c r="Q14" i="100" s="1"/>
  <c r="E28" i="105"/>
  <c r="AG13" i="109"/>
  <c r="AH13" i="109" s="1"/>
  <c r="P29" i="84"/>
  <c r="R29" i="84" s="1"/>
  <c r="K24" i="84"/>
  <c r="K43" i="84"/>
  <c r="K9" i="84"/>
  <c r="M9" i="84" s="1"/>
  <c r="J30" i="84"/>
  <c r="M30" i="84" s="1"/>
  <c r="O30" i="84" s="1"/>
  <c r="L21" i="85"/>
  <c r="M21" i="85" s="1"/>
  <c r="O21" i="85" s="1"/>
  <c r="P21" i="85" s="1"/>
  <c r="AG15" i="80"/>
  <c r="AH15" i="80" s="1"/>
  <c r="AG17" i="80"/>
  <c r="AH17" i="80" s="1"/>
  <c r="K22" i="86"/>
  <c r="M22" i="86" s="1"/>
  <c r="M18" i="86"/>
  <c r="O18" i="86" s="1"/>
  <c r="P18" i="86" s="1"/>
  <c r="Q18" i="86" s="1"/>
  <c r="M10" i="80"/>
  <c r="O10" i="80" s="1"/>
  <c r="P10" i="80" s="1"/>
  <c r="M18" i="84"/>
  <c r="O18" i="84" s="1"/>
  <c r="P18" i="84" s="1"/>
  <c r="AG25" i="84"/>
  <c r="AH25" i="84" s="1"/>
  <c r="AG21" i="84"/>
  <c r="AH21" i="84" s="1"/>
  <c r="AG11" i="84"/>
  <c r="AH11" i="84" s="1"/>
  <c r="AG48" i="84"/>
  <c r="AH48" i="84" s="1"/>
  <c r="AG39" i="84"/>
  <c r="AH39" i="84" s="1"/>
  <c r="AG31" i="84"/>
  <c r="AH31" i="84" s="1"/>
  <c r="M11" i="86"/>
  <c r="L11" i="103"/>
  <c r="M11" i="103" s="1"/>
  <c r="K13" i="103"/>
  <c r="M13" i="103" s="1"/>
  <c r="H52" i="102"/>
  <c r="M47" i="102"/>
  <c r="M21" i="102"/>
  <c r="O21" i="102" s="1"/>
  <c r="K18" i="101"/>
  <c r="H67" i="108"/>
  <c r="F9" i="106"/>
  <c r="L30" i="102"/>
  <c r="J30" i="102"/>
  <c r="L37" i="102"/>
  <c r="M37" i="102" s="1"/>
  <c r="O37" i="102" s="1"/>
  <c r="P37" i="102" s="1"/>
  <c r="AG43" i="102"/>
  <c r="AH43" i="102" s="1"/>
  <c r="L51" i="102"/>
  <c r="M51" i="102" s="1"/>
  <c r="G28" i="104"/>
  <c r="M18" i="105"/>
  <c r="O18" i="105" s="1"/>
  <c r="P18" i="105" s="1"/>
  <c r="Q18" i="105" s="1"/>
  <c r="L12" i="106"/>
  <c r="M12" i="106" s="1"/>
  <c r="O12" i="106" s="1"/>
  <c r="P12" i="106" s="1"/>
  <c r="AG21" i="107"/>
  <c r="AH21" i="107" s="1"/>
  <c r="H52" i="108"/>
  <c r="AG34" i="108"/>
  <c r="AH34" i="108" s="1"/>
  <c r="L35" i="108"/>
  <c r="M35" i="108"/>
  <c r="O35" i="108" s="1"/>
  <c r="P35" i="108" s="1"/>
  <c r="Q35" i="108" s="1"/>
  <c r="AG12" i="110"/>
  <c r="AH12" i="110" s="1"/>
  <c r="H28" i="110"/>
  <c r="M17" i="107"/>
  <c r="O17" i="107" s="1"/>
  <c r="AG36" i="108"/>
  <c r="AH36" i="108" s="1"/>
  <c r="M9" i="99"/>
  <c r="O9" i="99" s="1"/>
  <c r="M11" i="99"/>
  <c r="O11" i="99" s="1"/>
  <c r="H21" i="100"/>
  <c r="M18" i="100"/>
  <c r="O18" i="100" s="1"/>
  <c r="P18" i="100" s="1"/>
  <c r="J23" i="101"/>
  <c r="AG16" i="101"/>
  <c r="AH16" i="101" s="1"/>
  <c r="AG44" i="102"/>
  <c r="AH44" i="102" s="1"/>
  <c r="AG16" i="104"/>
  <c r="AH16" i="104" s="1"/>
  <c r="AG26" i="104"/>
  <c r="AH26" i="104" s="1"/>
  <c r="M27" i="104"/>
  <c r="M27" i="105"/>
  <c r="AG13" i="107"/>
  <c r="AH13" i="107" s="1"/>
  <c r="AG20" i="107"/>
  <c r="AH20" i="107" s="1"/>
  <c r="AG11" i="108"/>
  <c r="AH11" i="108" s="1"/>
  <c r="M14" i="108"/>
  <c r="O14" i="108" s="1"/>
  <c r="P14" i="108" s="1"/>
  <c r="AG29" i="108"/>
  <c r="AH29" i="108" s="1"/>
  <c r="AG37" i="108"/>
  <c r="AG50" i="108"/>
  <c r="AH50" i="108" s="1"/>
  <c r="N67" i="108"/>
  <c r="AG14" i="110"/>
  <c r="AG26" i="110"/>
  <c r="AH26" i="110" s="1"/>
  <c r="M27" i="110"/>
  <c r="O27" i="110" s="1"/>
  <c r="L28" i="84"/>
  <c r="J28" i="84"/>
  <c r="J52" i="84" s="1"/>
  <c r="K28" i="84"/>
  <c r="K12" i="101"/>
  <c r="L12" i="101"/>
  <c r="L18" i="106"/>
  <c r="M18" i="106" s="1"/>
  <c r="O18" i="106" s="1"/>
  <c r="L32" i="108"/>
  <c r="J32" i="108"/>
  <c r="O9" i="105"/>
  <c r="P9" i="105" s="1"/>
  <c r="Q9" i="105" s="1"/>
  <c r="O49" i="108"/>
  <c r="P49" i="108" s="1"/>
  <c r="K16" i="100"/>
  <c r="L16" i="100"/>
  <c r="M16" i="100" s="1"/>
  <c r="O16" i="100" s="1"/>
  <c r="P16" i="100" s="1"/>
  <c r="L13" i="104"/>
  <c r="M13" i="104" s="1"/>
  <c r="L11" i="105"/>
  <c r="M11" i="105" s="1"/>
  <c r="O11" i="105" s="1"/>
  <c r="F28" i="105"/>
  <c r="K18" i="107"/>
  <c r="M18" i="107" s="1"/>
  <c r="L18" i="107"/>
  <c r="K16" i="84"/>
  <c r="L16" i="84"/>
  <c r="L25" i="99"/>
  <c r="K25" i="99"/>
  <c r="L14" i="84"/>
  <c r="K14" i="84"/>
  <c r="L16" i="85"/>
  <c r="K16" i="85"/>
  <c r="K22" i="84"/>
  <c r="L22" i="84"/>
  <c r="L22" i="105"/>
  <c r="M22" i="105" s="1"/>
  <c r="K12" i="107"/>
  <c r="L12" i="107"/>
  <c r="M22" i="80"/>
  <c r="O22" i="80" s="1"/>
  <c r="P22" i="80" s="1"/>
  <c r="AH19" i="86"/>
  <c r="AH14" i="80"/>
  <c r="AC28" i="80"/>
  <c r="AH12" i="86"/>
  <c r="M46" i="84"/>
  <c r="M27" i="84"/>
  <c r="O27" i="84" s="1"/>
  <c r="P27" i="84" s="1"/>
  <c r="M15" i="84"/>
  <c r="M34" i="84"/>
  <c r="O34" i="84" s="1"/>
  <c r="P34" i="84" s="1"/>
  <c r="R34" i="84" s="1"/>
  <c r="F21" i="106"/>
  <c r="AG19" i="81"/>
  <c r="AH19" i="81" s="1"/>
  <c r="I67" i="84"/>
  <c r="U67" i="84"/>
  <c r="Z25" i="85"/>
  <c r="AG11" i="81"/>
  <c r="AG11" i="85"/>
  <c r="AH11" i="85" s="1"/>
  <c r="AF28" i="80"/>
  <c r="AG49" i="84"/>
  <c r="AG45" i="84"/>
  <c r="AG43" i="84"/>
  <c r="AH43" i="84" s="1"/>
  <c r="AG40" i="84"/>
  <c r="AH40" i="84" s="1"/>
  <c r="AG36" i="84"/>
  <c r="AG30" i="84"/>
  <c r="AG24" i="84"/>
  <c r="AG12" i="84"/>
  <c r="AH12" i="84" s="1"/>
  <c r="M40" i="84"/>
  <c r="G28" i="86"/>
  <c r="G52" i="84"/>
  <c r="R16" i="99"/>
  <c r="AC28" i="99"/>
  <c r="M13" i="99"/>
  <c r="G21" i="100"/>
  <c r="AG19" i="100"/>
  <c r="AH19" i="100" s="1"/>
  <c r="AC23" i="101"/>
  <c r="AF52" i="102"/>
  <c r="M49" i="102"/>
  <c r="O49" i="102" s="1"/>
  <c r="P49" i="102" s="1"/>
  <c r="M26" i="104"/>
  <c r="H28" i="105"/>
  <c r="H21" i="106"/>
  <c r="C23" i="107"/>
  <c r="AG10" i="108"/>
  <c r="AH10" i="108" s="1"/>
  <c r="AG20" i="108"/>
  <c r="AG26" i="108"/>
  <c r="AH26" i="108" s="1"/>
  <c r="AG27" i="108"/>
  <c r="AH27" i="108" s="1"/>
  <c r="AG31" i="108"/>
  <c r="AH31" i="108" s="1"/>
  <c r="I67" i="108"/>
  <c r="AH26" i="99"/>
  <c r="AG11" i="100"/>
  <c r="AH11" i="100" s="1"/>
  <c r="AH12" i="100"/>
  <c r="AG16" i="102"/>
  <c r="AH16" i="102" s="1"/>
  <c r="AG20" i="102"/>
  <c r="AH20" i="102" s="1"/>
  <c r="AG25" i="102"/>
  <c r="AH25" i="102" s="1"/>
  <c r="AG27" i="102"/>
  <c r="AH27" i="102" s="1"/>
  <c r="M45" i="102"/>
  <c r="O45" i="102" s="1"/>
  <c r="P45" i="102" s="1"/>
  <c r="Q45" i="102" s="1"/>
  <c r="AG46" i="102"/>
  <c r="AH46" i="102" s="1"/>
  <c r="AG47" i="102"/>
  <c r="AH47" i="102" s="1"/>
  <c r="AG14" i="103"/>
  <c r="AH14" i="103" s="1"/>
  <c r="AG16" i="103"/>
  <c r="AH16" i="103" s="1"/>
  <c r="AG17" i="103"/>
  <c r="AH17" i="103" s="1"/>
  <c r="M21" i="104"/>
  <c r="O21" i="104" s="1"/>
  <c r="AG22" i="105"/>
  <c r="AH22" i="105" s="1"/>
  <c r="M16" i="107"/>
  <c r="O16" i="107" s="1"/>
  <c r="P16" i="107" s="1"/>
  <c r="Q16" i="107" s="1"/>
  <c r="AG19" i="108"/>
  <c r="AH19" i="108" s="1"/>
  <c r="AG44" i="108"/>
  <c r="AH44" i="108" s="1"/>
  <c r="D67" i="84"/>
  <c r="N67" i="84"/>
  <c r="AH9" i="85"/>
  <c r="AF25" i="85"/>
  <c r="AG13" i="85"/>
  <c r="AH13" i="85" s="1"/>
  <c r="AG14" i="85"/>
  <c r="AG16" i="85"/>
  <c r="AH16" i="85" s="1"/>
  <c r="M26" i="84"/>
  <c r="O26" i="84" s="1"/>
  <c r="H52" i="84"/>
  <c r="M10" i="102"/>
  <c r="O10" i="102" s="1"/>
  <c r="P10" i="102" s="1"/>
  <c r="M16" i="110"/>
  <c r="O16" i="110" s="1"/>
  <c r="P16" i="110" s="1"/>
  <c r="M9" i="107"/>
  <c r="O9" i="107" s="1"/>
  <c r="P9" i="107" s="1"/>
  <c r="R9" i="107" s="1"/>
  <c r="M19" i="99"/>
  <c r="O19" i="99" s="1"/>
  <c r="P19" i="99" s="1"/>
  <c r="Q19" i="99" s="1"/>
  <c r="M26" i="99"/>
  <c r="M15" i="100"/>
  <c r="O15" i="100" s="1"/>
  <c r="P15" i="100" s="1"/>
  <c r="AG18" i="101"/>
  <c r="AG20" i="101"/>
  <c r="AH20" i="101" s="1"/>
  <c r="AG9" i="102"/>
  <c r="AH9" i="102" s="1"/>
  <c r="AG45" i="102"/>
  <c r="AH45" i="102" s="1"/>
  <c r="AC28" i="104"/>
  <c r="F28" i="104"/>
  <c r="AG11" i="105"/>
  <c r="AH11" i="105" s="1"/>
  <c r="AG24" i="105"/>
  <c r="AH24" i="105" s="1"/>
  <c r="M26" i="105"/>
  <c r="AG15" i="106"/>
  <c r="AH15" i="106" s="1"/>
  <c r="E23" i="107"/>
  <c r="M13" i="107"/>
  <c r="O13" i="107" s="1"/>
  <c r="P13" i="107" s="1"/>
  <c r="R13" i="107" s="1"/>
  <c r="AH14" i="107"/>
  <c r="AG15" i="107"/>
  <c r="AH15" i="107" s="1"/>
  <c r="M31" i="108"/>
  <c r="O31" i="108" s="1"/>
  <c r="AH37" i="108"/>
  <c r="K22" i="110"/>
  <c r="L22" i="110"/>
  <c r="AG43" i="108"/>
  <c r="AH43" i="108" s="1"/>
  <c r="G67" i="108"/>
  <c r="AG22" i="110"/>
  <c r="AH22" i="110" s="1"/>
  <c r="AG23" i="110"/>
  <c r="G52" i="108"/>
  <c r="AG51" i="108"/>
  <c r="AH51" i="108" s="1"/>
  <c r="D67" i="108"/>
  <c r="AG10" i="109"/>
  <c r="AH10" i="109" s="1"/>
  <c r="H25" i="109"/>
  <c r="AG17" i="109"/>
  <c r="AH17" i="109" s="1"/>
  <c r="AG16" i="110"/>
  <c r="AH16" i="110" s="1"/>
  <c r="L37" i="84"/>
  <c r="M37" i="84" s="1"/>
  <c r="B12" i="111"/>
  <c r="B11" i="42"/>
  <c r="K15" i="80"/>
  <c r="L15" i="80"/>
  <c r="M15" i="80" s="1"/>
  <c r="O15" i="80" s="1"/>
  <c r="P15" i="80" s="1"/>
  <c r="K22" i="85"/>
  <c r="M22" i="85" s="1"/>
  <c r="O22" i="85" s="1"/>
  <c r="P22" i="85" s="1"/>
  <c r="AH9" i="86"/>
  <c r="AH28" i="86" s="1"/>
  <c r="AG28" i="86"/>
  <c r="AH9" i="84"/>
  <c r="K25" i="80"/>
  <c r="L25" i="80"/>
  <c r="Q9" i="104"/>
  <c r="R9" i="104"/>
  <c r="O13" i="99"/>
  <c r="P13" i="99" s="1"/>
  <c r="F64" i="102"/>
  <c r="L9" i="102"/>
  <c r="K9" i="102"/>
  <c r="K64" i="102" s="1"/>
  <c r="F44" i="102"/>
  <c r="L44" i="102" s="1"/>
  <c r="M44" i="102" s="1"/>
  <c r="E52" i="102"/>
  <c r="AG21" i="80"/>
  <c r="AH21" i="80" s="1"/>
  <c r="AH29" i="84"/>
  <c r="AG10" i="85"/>
  <c r="AH10" i="85" s="1"/>
  <c r="L17" i="81"/>
  <c r="M17" i="81" s="1"/>
  <c r="M17" i="85"/>
  <c r="K14" i="80"/>
  <c r="M14" i="80" s="1"/>
  <c r="O14" i="80" s="1"/>
  <c r="P14" i="80" s="1"/>
  <c r="F9" i="80"/>
  <c r="L9" i="80" s="1"/>
  <c r="M9" i="80" s="1"/>
  <c r="O9" i="80" s="1"/>
  <c r="P9" i="80" s="1"/>
  <c r="E28" i="80"/>
  <c r="AG12" i="81"/>
  <c r="AH12" i="81" s="1"/>
  <c r="AG9" i="81"/>
  <c r="AH9" i="81" s="1"/>
  <c r="AH15" i="85"/>
  <c r="M47" i="84"/>
  <c r="M43" i="84"/>
  <c r="O43" i="84" s="1"/>
  <c r="P43" i="84" s="1"/>
  <c r="P26" i="84"/>
  <c r="R26" i="84" s="1"/>
  <c r="Q17" i="101"/>
  <c r="R17" i="101"/>
  <c r="AH10" i="86"/>
  <c r="AH12" i="80"/>
  <c r="AH11" i="86"/>
  <c r="R19" i="99"/>
  <c r="Z28" i="80"/>
  <c r="M11" i="80"/>
  <c r="O11" i="80" s="1"/>
  <c r="P11" i="80" s="1"/>
  <c r="P33" i="84"/>
  <c r="Q33" i="84" s="1"/>
  <c r="L10" i="81"/>
  <c r="AF21" i="81"/>
  <c r="AG16" i="81"/>
  <c r="AH16" i="81" s="1"/>
  <c r="L15" i="81"/>
  <c r="M15" i="81" s="1"/>
  <c r="O15" i="81" s="1"/>
  <c r="P15" i="81" s="1"/>
  <c r="K10" i="81"/>
  <c r="O24" i="85"/>
  <c r="P24" i="85" s="1"/>
  <c r="R24" i="85" s="1"/>
  <c r="K13" i="85"/>
  <c r="M13" i="85" s="1"/>
  <c r="O13" i="85" s="1"/>
  <c r="P13" i="85" s="1"/>
  <c r="K13" i="80"/>
  <c r="L13" i="80"/>
  <c r="M20" i="80"/>
  <c r="O20" i="80" s="1"/>
  <c r="P20" i="80" s="1"/>
  <c r="R20" i="80" s="1"/>
  <c r="L17" i="86"/>
  <c r="M17" i="86" s="1"/>
  <c r="L49" i="84"/>
  <c r="M49" i="84" s="1"/>
  <c r="O49" i="84" s="1"/>
  <c r="P49" i="84" s="1"/>
  <c r="F10" i="84"/>
  <c r="E64" i="84"/>
  <c r="E51" i="84"/>
  <c r="F51" i="84" s="1"/>
  <c r="C52" i="84"/>
  <c r="AG18" i="85"/>
  <c r="AH18" i="85" s="1"/>
  <c r="AG19" i="85"/>
  <c r="AH19" i="85" s="1"/>
  <c r="AH20" i="80"/>
  <c r="H21" i="81"/>
  <c r="AH20" i="85"/>
  <c r="M13" i="108"/>
  <c r="P19" i="110"/>
  <c r="Q33" i="108"/>
  <c r="M11" i="101"/>
  <c r="M13" i="101"/>
  <c r="O13" i="101" s="1"/>
  <c r="P13" i="101" s="1"/>
  <c r="Q13" i="101" s="1"/>
  <c r="AG11" i="101"/>
  <c r="AH11" i="101" s="1"/>
  <c r="E15" i="101"/>
  <c r="F15" i="101" s="1"/>
  <c r="F23" i="101" s="1"/>
  <c r="C23" i="101"/>
  <c r="AG12" i="102"/>
  <c r="AH12" i="102" s="1"/>
  <c r="F13" i="102"/>
  <c r="E65" i="102"/>
  <c r="AH18" i="102"/>
  <c r="AG23" i="102"/>
  <c r="AH23" i="102" s="1"/>
  <c r="J24" i="102"/>
  <c r="K24" i="102"/>
  <c r="M27" i="102"/>
  <c r="AG34" i="102"/>
  <c r="AH34" i="102" s="1"/>
  <c r="O39" i="102"/>
  <c r="P39" i="102" s="1"/>
  <c r="AG40" i="102"/>
  <c r="AH40" i="102" s="1"/>
  <c r="AG41" i="102"/>
  <c r="AH41" i="102" s="1"/>
  <c r="L45" i="108"/>
  <c r="M45" i="108" s="1"/>
  <c r="G28" i="110"/>
  <c r="M26" i="110"/>
  <c r="O26" i="110" s="1"/>
  <c r="P26" i="110" s="1"/>
  <c r="R26" i="110" s="1"/>
  <c r="K20" i="86"/>
  <c r="M20" i="86" s="1"/>
  <c r="O20" i="86" s="1"/>
  <c r="P20" i="86" s="1"/>
  <c r="E28" i="86"/>
  <c r="M23" i="80"/>
  <c r="O23" i="80" s="1"/>
  <c r="P23" i="80" s="1"/>
  <c r="Q23" i="80" s="1"/>
  <c r="M24" i="84"/>
  <c r="O24" i="84" s="1"/>
  <c r="P24" i="84" s="1"/>
  <c r="M14" i="84"/>
  <c r="AG10" i="81"/>
  <c r="AH10" i="81" s="1"/>
  <c r="AG15" i="81"/>
  <c r="AH15" i="81" s="1"/>
  <c r="AG17" i="85"/>
  <c r="AH17" i="85" s="1"/>
  <c r="AG21" i="85"/>
  <c r="AH21" i="85" s="1"/>
  <c r="AG24" i="85"/>
  <c r="AH24" i="85" s="1"/>
  <c r="AG13" i="81"/>
  <c r="AH13" i="81" s="1"/>
  <c r="R24" i="104"/>
  <c r="S24" i="104" s="1"/>
  <c r="T24" i="104" s="1"/>
  <c r="V24" i="104" s="1"/>
  <c r="W24" i="104" s="1"/>
  <c r="Q11" i="104"/>
  <c r="R21" i="110"/>
  <c r="Q17" i="110"/>
  <c r="S17" i="110" s="1"/>
  <c r="T17" i="110" s="1"/>
  <c r="V17" i="110" s="1"/>
  <c r="M29" i="102"/>
  <c r="L24" i="102"/>
  <c r="M10" i="99"/>
  <c r="O10" i="99" s="1"/>
  <c r="P10" i="99" s="1"/>
  <c r="P11" i="99"/>
  <c r="M23" i="99"/>
  <c r="P26" i="108"/>
  <c r="H28" i="99"/>
  <c r="AG14" i="99"/>
  <c r="AH14" i="99" s="1"/>
  <c r="K15" i="99"/>
  <c r="K28" i="99" s="1"/>
  <c r="L15" i="99"/>
  <c r="M21" i="99"/>
  <c r="O21" i="99" s="1"/>
  <c r="P21" i="99" s="1"/>
  <c r="R21" i="99" s="1"/>
  <c r="M24" i="99"/>
  <c r="O24" i="99" s="1"/>
  <c r="P24" i="99" s="1"/>
  <c r="L9" i="100"/>
  <c r="M9" i="100" s="1"/>
  <c r="AH15" i="100"/>
  <c r="AH16" i="100"/>
  <c r="AG10" i="101"/>
  <c r="Z23" i="101"/>
  <c r="AH10" i="101"/>
  <c r="K19" i="101"/>
  <c r="M19" i="101" s="1"/>
  <c r="L19" i="101"/>
  <c r="AG21" i="102"/>
  <c r="AH21" i="102"/>
  <c r="L36" i="102"/>
  <c r="M36" i="102" s="1"/>
  <c r="AG38" i="102"/>
  <c r="AH38" i="102" s="1"/>
  <c r="M48" i="102"/>
  <c r="O48" i="102" s="1"/>
  <c r="P48" i="102" s="1"/>
  <c r="G52" i="102"/>
  <c r="M10" i="103"/>
  <c r="O10" i="103" s="1"/>
  <c r="Z25" i="103"/>
  <c r="AG11" i="103"/>
  <c r="AH11" i="103" s="1"/>
  <c r="AH13" i="103"/>
  <c r="AH15" i="103"/>
  <c r="K25" i="105"/>
  <c r="L25" i="105"/>
  <c r="AG27" i="105"/>
  <c r="AH27" i="105" s="1"/>
  <c r="M19" i="106"/>
  <c r="F12" i="108"/>
  <c r="E52" i="108"/>
  <c r="E64" i="108"/>
  <c r="AG17" i="108"/>
  <c r="AH17" i="108" s="1"/>
  <c r="Z52" i="108"/>
  <c r="F18" i="108"/>
  <c r="E66" i="108"/>
  <c r="F20" i="108"/>
  <c r="F65" i="108" s="1"/>
  <c r="E65" i="108"/>
  <c r="L22" i="108"/>
  <c r="M22" i="108" s="1"/>
  <c r="O22" i="108" s="1"/>
  <c r="P22" i="108" s="1"/>
  <c r="AG25" i="108"/>
  <c r="AH25" i="108"/>
  <c r="AC25" i="109"/>
  <c r="AG9" i="109"/>
  <c r="AH9" i="109" s="1"/>
  <c r="L10" i="109"/>
  <c r="M10" i="109"/>
  <c r="M13" i="109"/>
  <c r="O13" i="109" s="1"/>
  <c r="P13" i="109" s="1"/>
  <c r="AH23" i="109"/>
  <c r="AH24" i="109"/>
  <c r="AC28" i="110"/>
  <c r="K15" i="110"/>
  <c r="L15" i="110"/>
  <c r="Q18" i="110"/>
  <c r="S18" i="110" s="1"/>
  <c r="T18" i="110" s="1"/>
  <c r="V18" i="110" s="1"/>
  <c r="P34" i="102"/>
  <c r="P9" i="99"/>
  <c r="P51" i="108"/>
  <c r="L20" i="99"/>
  <c r="M20" i="99" s="1"/>
  <c r="O20" i="99" s="1"/>
  <c r="P20" i="99" s="1"/>
  <c r="AG22" i="99"/>
  <c r="AH22" i="99" s="1"/>
  <c r="L20" i="101"/>
  <c r="M20" i="101" s="1"/>
  <c r="O20" i="101" s="1"/>
  <c r="P20" i="101" s="1"/>
  <c r="AG10" i="102"/>
  <c r="AH10" i="102" s="1"/>
  <c r="Z52" i="102"/>
  <c r="L15" i="102"/>
  <c r="M15" i="102" s="1"/>
  <c r="AG17" i="102"/>
  <c r="AH17" i="102" s="1"/>
  <c r="L18" i="102"/>
  <c r="F66" i="102"/>
  <c r="L26" i="102"/>
  <c r="M26" i="102" s="1"/>
  <c r="O26" i="102" s="1"/>
  <c r="P26" i="102" s="1"/>
  <c r="L31" i="102"/>
  <c r="M31" i="102" s="1"/>
  <c r="M23" i="84"/>
  <c r="O23" i="84" s="1"/>
  <c r="P23" i="84" s="1"/>
  <c r="AG13" i="80"/>
  <c r="AH13" i="80" s="1"/>
  <c r="L19" i="84"/>
  <c r="M19" i="84" s="1"/>
  <c r="O19" i="84" s="1"/>
  <c r="P19" i="84" s="1"/>
  <c r="M25" i="84"/>
  <c r="O25" i="84" s="1"/>
  <c r="P25" i="84" s="1"/>
  <c r="L50" i="84"/>
  <c r="M50" i="84" s="1"/>
  <c r="O50" i="84" s="1"/>
  <c r="P50" i="84" s="1"/>
  <c r="M32" i="84"/>
  <c r="AC28" i="86"/>
  <c r="M15" i="86"/>
  <c r="AC21" i="81"/>
  <c r="AG12" i="85"/>
  <c r="AH12" i="85" s="1"/>
  <c r="M26" i="86"/>
  <c r="M22" i="84"/>
  <c r="O22" i="84" s="1"/>
  <c r="P22" i="84" s="1"/>
  <c r="H28" i="80"/>
  <c r="AG23" i="85"/>
  <c r="AH23" i="85" s="1"/>
  <c r="D16" i="42"/>
  <c r="D22" i="42" s="1"/>
  <c r="R11" i="104"/>
  <c r="R33" i="108"/>
  <c r="Q21" i="110"/>
  <c r="O10" i="104"/>
  <c r="P10" i="104" s="1"/>
  <c r="P16" i="102"/>
  <c r="Q24" i="103"/>
  <c r="S24" i="103" s="1"/>
  <c r="P16" i="104"/>
  <c r="O46" i="108"/>
  <c r="P46" i="108" s="1"/>
  <c r="M23" i="103"/>
  <c r="L20" i="104"/>
  <c r="M20" i="104" s="1"/>
  <c r="E28" i="104"/>
  <c r="C52" i="102"/>
  <c r="M23" i="102"/>
  <c r="O23" i="102" s="1"/>
  <c r="P23" i="102" s="1"/>
  <c r="Q23" i="102" s="1"/>
  <c r="AG19" i="102"/>
  <c r="AH19" i="102" s="1"/>
  <c r="AG28" i="102"/>
  <c r="AH28" i="102" s="1"/>
  <c r="AG32" i="102"/>
  <c r="AH32" i="102" s="1"/>
  <c r="Z28" i="99"/>
  <c r="P22" i="101"/>
  <c r="AH23" i="110"/>
  <c r="M14" i="109"/>
  <c r="O14" i="109" s="1"/>
  <c r="P14" i="109" s="1"/>
  <c r="Q14" i="109" s="1"/>
  <c r="C52" i="108"/>
  <c r="P11" i="105"/>
  <c r="F12" i="99"/>
  <c r="L12" i="99" s="1"/>
  <c r="M12" i="99" s="1"/>
  <c r="E28" i="99"/>
  <c r="AG15" i="99"/>
  <c r="AH15" i="99" s="1"/>
  <c r="M17" i="99"/>
  <c r="O17" i="99" s="1"/>
  <c r="P17" i="99" s="1"/>
  <c r="AG21" i="99"/>
  <c r="M22" i="99"/>
  <c r="O22" i="99" s="1"/>
  <c r="P22" i="99" s="1"/>
  <c r="AG27" i="99"/>
  <c r="AH27" i="99" s="1"/>
  <c r="Z21" i="100"/>
  <c r="F10" i="100"/>
  <c r="K10" i="100" s="1"/>
  <c r="E21" i="100"/>
  <c r="AF21" i="100"/>
  <c r="AH13" i="100"/>
  <c r="AG14" i="100"/>
  <c r="AH14" i="100" s="1"/>
  <c r="AG18" i="100"/>
  <c r="AH18" i="100" s="1"/>
  <c r="AG20" i="100"/>
  <c r="AH20" i="100" s="1"/>
  <c r="K9" i="101"/>
  <c r="M9" i="101" s="1"/>
  <c r="M14" i="101"/>
  <c r="O14" i="101" s="1"/>
  <c r="P14" i="101" s="1"/>
  <c r="M16" i="101"/>
  <c r="O16" i="101" s="1"/>
  <c r="P16" i="101" s="1"/>
  <c r="Q16" i="101" s="1"/>
  <c r="AH18" i="101"/>
  <c r="AG30" i="102"/>
  <c r="AH30" i="102" s="1"/>
  <c r="AG35" i="102"/>
  <c r="AH35" i="102" s="1"/>
  <c r="AG36" i="102"/>
  <c r="AH36" i="102" s="1"/>
  <c r="AG37" i="102"/>
  <c r="AH37" i="102" s="1"/>
  <c r="M46" i="102"/>
  <c r="O46" i="102" s="1"/>
  <c r="P46" i="102" s="1"/>
  <c r="Q46" i="102" s="1"/>
  <c r="AH48" i="102"/>
  <c r="N67" i="102"/>
  <c r="F9" i="103"/>
  <c r="F25" i="103" s="1"/>
  <c r="E25" i="103"/>
  <c r="AC25" i="103"/>
  <c r="AF25" i="103"/>
  <c r="M15" i="103"/>
  <c r="O15" i="103" s="1"/>
  <c r="P15" i="103" s="1"/>
  <c r="M17" i="103"/>
  <c r="O17" i="103" s="1"/>
  <c r="P17" i="103" s="1"/>
  <c r="K18" i="103"/>
  <c r="L18" i="103"/>
  <c r="AG10" i="105"/>
  <c r="AH10" i="105" s="1"/>
  <c r="Z28" i="105"/>
  <c r="AG13" i="105"/>
  <c r="AH13" i="105" s="1"/>
  <c r="L15" i="105"/>
  <c r="M15" i="105" s="1"/>
  <c r="AG23" i="105"/>
  <c r="AH23" i="105" s="1"/>
  <c r="AG26" i="105"/>
  <c r="AH26" i="105" s="1"/>
  <c r="AH12" i="106"/>
  <c r="AG13" i="106"/>
  <c r="AH13" i="106" s="1"/>
  <c r="K16" i="106"/>
  <c r="L16" i="106"/>
  <c r="AG11" i="107"/>
  <c r="AH11" i="107"/>
  <c r="Z23" i="107"/>
  <c r="AG12" i="107"/>
  <c r="AH12" i="107" s="1"/>
  <c r="M20" i="107"/>
  <c r="O20" i="107" s="1"/>
  <c r="P20" i="107" s="1"/>
  <c r="AC52" i="108"/>
  <c r="AH13" i="108"/>
  <c r="L17" i="108"/>
  <c r="M17" i="108" s="1"/>
  <c r="O17" i="108" s="1"/>
  <c r="AF52" i="108"/>
  <c r="AG18" i="108"/>
  <c r="AH18" i="108" s="1"/>
  <c r="AH23" i="108"/>
  <c r="M48" i="108"/>
  <c r="F9" i="109"/>
  <c r="F25" i="109" s="1"/>
  <c r="E25" i="109"/>
  <c r="L12" i="109"/>
  <c r="M12" i="109" s="1"/>
  <c r="O12" i="109" s="1"/>
  <c r="P12" i="109" s="1"/>
  <c r="AG15" i="109"/>
  <c r="AH15" i="109" s="1"/>
  <c r="L16" i="109"/>
  <c r="K16" i="109"/>
  <c r="AG18" i="109"/>
  <c r="AH18" i="109" s="1"/>
  <c r="AG19" i="109"/>
  <c r="AH19" i="109" s="1"/>
  <c r="M9" i="110"/>
  <c r="L9" i="110"/>
  <c r="F28" i="110"/>
  <c r="AF28" i="110"/>
  <c r="M11" i="102"/>
  <c r="M14" i="104"/>
  <c r="M28" i="102"/>
  <c r="O28" i="102" s="1"/>
  <c r="P28" i="102" s="1"/>
  <c r="M20" i="102"/>
  <c r="O20" i="102" s="1"/>
  <c r="P20" i="102" s="1"/>
  <c r="AG17" i="99"/>
  <c r="AH17" i="99" s="1"/>
  <c r="AG19" i="99"/>
  <c r="AH19" i="99" s="1"/>
  <c r="AG23" i="99"/>
  <c r="AH23" i="99" s="1"/>
  <c r="AG13" i="101"/>
  <c r="AH13" i="101" s="1"/>
  <c r="AG19" i="101"/>
  <c r="AH19" i="101" s="1"/>
  <c r="AG29" i="102"/>
  <c r="AH29" i="102" s="1"/>
  <c r="AG31" i="102"/>
  <c r="AH31" i="102" s="1"/>
  <c r="AG33" i="102"/>
  <c r="AH33" i="102" s="1"/>
  <c r="G67" i="102"/>
  <c r="Z28" i="104"/>
  <c r="K12" i="104"/>
  <c r="M12" i="104" s="1"/>
  <c r="O12" i="104" s="1"/>
  <c r="P12" i="104" s="1"/>
  <c r="Q12" i="104" s="1"/>
  <c r="AG19" i="104"/>
  <c r="AH19" i="104" s="1"/>
  <c r="M23" i="105"/>
  <c r="O23" i="105" s="1"/>
  <c r="P23" i="105" s="1"/>
  <c r="AG25" i="105"/>
  <c r="AH25" i="105" s="1"/>
  <c r="AG16" i="106"/>
  <c r="AH16" i="106" s="1"/>
  <c r="AG18" i="107"/>
  <c r="AH18" i="107" s="1"/>
  <c r="AG33" i="108"/>
  <c r="AH33" i="108" s="1"/>
  <c r="AG40" i="108"/>
  <c r="AH40" i="108" s="1"/>
  <c r="AG46" i="108"/>
  <c r="AH46" i="108" s="1"/>
  <c r="E28" i="110"/>
  <c r="H28" i="86"/>
  <c r="AG10" i="99"/>
  <c r="AH10" i="99" s="1"/>
  <c r="AG13" i="99"/>
  <c r="AH13" i="99" s="1"/>
  <c r="M18" i="99"/>
  <c r="O18" i="99" s="1"/>
  <c r="P18" i="99" s="1"/>
  <c r="AG18" i="99"/>
  <c r="AH18" i="99" s="1"/>
  <c r="AC21" i="100"/>
  <c r="AF23" i="101"/>
  <c r="AG22" i="101"/>
  <c r="AH22" i="101" s="1"/>
  <c r="E66" i="102"/>
  <c r="AG15" i="102"/>
  <c r="AH15" i="102" s="1"/>
  <c r="AG24" i="102"/>
  <c r="AH24" i="102" s="1"/>
  <c r="AG26" i="102"/>
  <c r="AH26" i="102" s="1"/>
  <c r="AG39" i="102"/>
  <c r="AH39" i="102" s="1"/>
  <c r="AG18" i="103"/>
  <c r="AH18" i="103" s="1"/>
  <c r="AF28" i="104"/>
  <c r="AG14" i="104"/>
  <c r="AH14" i="104" s="1"/>
  <c r="G21" i="106"/>
  <c r="AG21" i="109"/>
  <c r="AH21" i="109" s="1"/>
  <c r="AG50" i="102"/>
  <c r="AH50" i="102" s="1"/>
  <c r="AG51" i="102"/>
  <c r="AH51" i="102" s="1"/>
  <c r="AG20" i="103"/>
  <c r="AH20" i="103" s="1"/>
  <c r="AG22" i="103"/>
  <c r="AH22" i="103" s="1"/>
  <c r="AG24" i="103"/>
  <c r="AH24" i="103" s="1"/>
  <c r="H28" i="104"/>
  <c r="AG18" i="104"/>
  <c r="AH18" i="104" s="1"/>
  <c r="AG21" i="104"/>
  <c r="AF28" i="105"/>
  <c r="AG19" i="105"/>
  <c r="AH19" i="105" s="1"/>
  <c r="AG20" i="105"/>
  <c r="AH20" i="105" s="1"/>
  <c r="AG21" i="105"/>
  <c r="AH21" i="105" s="1"/>
  <c r="AF21" i="106"/>
  <c r="AG18" i="106"/>
  <c r="AH18" i="106" s="1"/>
  <c r="AG19" i="106"/>
  <c r="AH19" i="106" s="1"/>
  <c r="AG22" i="107"/>
  <c r="AH22" i="107" s="1"/>
  <c r="AG22" i="108"/>
  <c r="AH22" i="108" s="1"/>
  <c r="AG28" i="108"/>
  <c r="AH28" i="108" s="1"/>
  <c r="AG32" i="108"/>
  <c r="AH32" i="108" s="1"/>
  <c r="C65" i="108"/>
  <c r="C67" i="108" s="1"/>
  <c r="AG48" i="108"/>
  <c r="AH48" i="108" s="1"/>
  <c r="AG11" i="109"/>
  <c r="AH11" i="109" s="1"/>
  <c r="AG10" i="110"/>
  <c r="AH10" i="110" s="1"/>
  <c r="AG11" i="110"/>
  <c r="AH11" i="110" s="1"/>
  <c r="AG18" i="110"/>
  <c r="AH18" i="110" s="1"/>
  <c r="AG21" i="103"/>
  <c r="AH21" i="103" s="1"/>
  <c r="AG23" i="103"/>
  <c r="AH23" i="103" s="1"/>
  <c r="AG15" i="104"/>
  <c r="AH15" i="104" s="1"/>
  <c r="AH15" i="105"/>
  <c r="AG17" i="105"/>
  <c r="AH17" i="105" s="1"/>
  <c r="AG9" i="106"/>
  <c r="AH9" i="106" s="1"/>
  <c r="AG17" i="106"/>
  <c r="AH17" i="106" s="1"/>
  <c r="AG20" i="106"/>
  <c r="AH20" i="106" s="1"/>
  <c r="AG9" i="107"/>
  <c r="AG10" i="107"/>
  <c r="AH10" i="107" s="1"/>
  <c r="AG14" i="108"/>
  <c r="AH14" i="108" s="1"/>
  <c r="AG16" i="108"/>
  <c r="AH16" i="108" s="1"/>
  <c r="AG35" i="108"/>
  <c r="AH35" i="108" s="1"/>
  <c r="AG41" i="108"/>
  <c r="AH41" i="108" s="1"/>
  <c r="AG45" i="108"/>
  <c r="AH45" i="108" s="1"/>
  <c r="AG12" i="109"/>
  <c r="AH12" i="109" s="1"/>
  <c r="AG9" i="110"/>
  <c r="AH9" i="110" s="1"/>
  <c r="C16" i="42"/>
  <c r="B16" i="111"/>
  <c r="D16" i="111"/>
  <c r="D22" i="111" s="1"/>
  <c r="R19" i="80"/>
  <c r="Q19" i="80"/>
  <c r="O22" i="86"/>
  <c r="P22" i="86" s="1"/>
  <c r="Q27" i="84"/>
  <c r="R27" i="84"/>
  <c r="Q12" i="86"/>
  <c r="R12" i="86"/>
  <c r="M9" i="86"/>
  <c r="O16" i="80"/>
  <c r="P16" i="80" s="1"/>
  <c r="O9" i="84"/>
  <c r="P9" i="84" s="1"/>
  <c r="O27" i="86"/>
  <c r="P27" i="86" s="1"/>
  <c r="O40" i="84"/>
  <c r="P40" i="84" s="1"/>
  <c r="O11" i="86"/>
  <c r="P11" i="86" s="1"/>
  <c r="R23" i="80"/>
  <c r="Q44" i="84"/>
  <c r="R44" i="84"/>
  <c r="K66" i="84"/>
  <c r="O48" i="84"/>
  <c r="P48" i="84" s="1"/>
  <c r="O14" i="84"/>
  <c r="P14" i="84" s="1"/>
  <c r="O13" i="86"/>
  <c r="P13" i="86" s="1"/>
  <c r="O17" i="80"/>
  <c r="P17" i="80" s="1"/>
  <c r="R10" i="80"/>
  <c r="Q10" i="80"/>
  <c r="R41" i="84"/>
  <c r="Q41" i="84"/>
  <c r="R23" i="86"/>
  <c r="Q23" i="86"/>
  <c r="O15" i="84"/>
  <c r="P15" i="84" s="1"/>
  <c r="M24" i="80"/>
  <c r="B14" i="111"/>
  <c r="B14" i="42"/>
  <c r="K16" i="81"/>
  <c r="L16" i="81"/>
  <c r="K13" i="81"/>
  <c r="L13" i="81"/>
  <c r="K14" i="85"/>
  <c r="L14" i="85"/>
  <c r="K10" i="85"/>
  <c r="M10" i="85" s="1"/>
  <c r="L10" i="86"/>
  <c r="L24" i="86"/>
  <c r="M24" i="86" s="1"/>
  <c r="E21" i="81"/>
  <c r="AH26" i="84"/>
  <c r="F28" i="86"/>
  <c r="O21" i="80"/>
  <c r="P21" i="80" s="1"/>
  <c r="O12" i="80"/>
  <c r="P12" i="80" s="1"/>
  <c r="L17" i="84"/>
  <c r="M17" i="84" s="1"/>
  <c r="F66" i="84"/>
  <c r="L11" i="84"/>
  <c r="L66" i="84" s="1"/>
  <c r="O47" i="84"/>
  <c r="P47" i="84" s="1"/>
  <c r="O45" i="84"/>
  <c r="P45" i="84" s="1"/>
  <c r="Q38" i="84"/>
  <c r="S38" i="84" s="1"/>
  <c r="O17" i="85"/>
  <c r="P17" i="85" s="1"/>
  <c r="L16" i="86"/>
  <c r="M16" i="86" s="1"/>
  <c r="AG26" i="80"/>
  <c r="AH26" i="80" s="1"/>
  <c r="F65" i="84"/>
  <c r="L36" i="84"/>
  <c r="M36" i="84" s="1"/>
  <c r="O39" i="84"/>
  <c r="P39" i="84" s="1"/>
  <c r="O46" i="84"/>
  <c r="P46" i="84" s="1"/>
  <c r="M20" i="84"/>
  <c r="AH14" i="85"/>
  <c r="AG22" i="84"/>
  <c r="AH22" i="84" s="1"/>
  <c r="AH17" i="81"/>
  <c r="M19" i="81"/>
  <c r="M14" i="81"/>
  <c r="M11" i="81"/>
  <c r="M12" i="85"/>
  <c r="M18" i="80"/>
  <c r="AH51" i="84"/>
  <c r="AH47" i="84"/>
  <c r="AH38" i="84"/>
  <c r="AH34" i="84"/>
  <c r="AH30" i="84"/>
  <c r="F21" i="81"/>
  <c r="M9" i="81"/>
  <c r="E25" i="85"/>
  <c r="F9" i="85"/>
  <c r="K65" i="84"/>
  <c r="M13" i="84"/>
  <c r="O12" i="84"/>
  <c r="P12" i="84" s="1"/>
  <c r="O26" i="80"/>
  <c r="P26" i="80" s="1"/>
  <c r="AG10" i="80"/>
  <c r="Z21" i="81"/>
  <c r="M31" i="84"/>
  <c r="E65" i="84"/>
  <c r="AG18" i="84"/>
  <c r="AH18" i="84" s="1"/>
  <c r="AH24" i="84"/>
  <c r="AH20" i="84"/>
  <c r="AH16" i="84"/>
  <c r="AH10" i="84"/>
  <c r="AH11" i="81"/>
  <c r="M21" i="86"/>
  <c r="AG20" i="81"/>
  <c r="AH20" i="81" s="1"/>
  <c r="AC25" i="85"/>
  <c r="L20" i="81"/>
  <c r="M20" i="81" s="1"/>
  <c r="L19" i="86"/>
  <c r="K19" i="86"/>
  <c r="O25" i="86"/>
  <c r="P25" i="86" s="1"/>
  <c r="L23" i="85"/>
  <c r="M23" i="85" s="1"/>
  <c r="O20" i="85"/>
  <c r="P20" i="85" s="1"/>
  <c r="Z52" i="84"/>
  <c r="AG14" i="84"/>
  <c r="AG14" i="81"/>
  <c r="AH14" i="81" s="1"/>
  <c r="L18" i="81"/>
  <c r="M18" i="81" s="1"/>
  <c r="L12" i="81"/>
  <c r="K15" i="85"/>
  <c r="M15" i="85" s="1"/>
  <c r="K11" i="85"/>
  <c r="M11" i="85" s="1"/>
  <c r="P27" i="80"/>
  <c r="AH49" i="84"/>
  <c r="AH45" i="84"/>
  <c r="AH36" i="84"/>
  <c r="AH32" i="84"/>
  <c r="AH28" i="84"/>
  <c r="R16" i="101"/>
  <c r="S16" i="101" s="1"/>
  <c r="R12" i="104"/>
  <c r="Q20" i="103"/>
  <c r="S20" i="103" s="1"/>
  <c r="R14" i="109"/>
  <c r="Q15" i="109"/>
  <c r="R15" i="109"/>
  <c r="Q16" i="105"/>
  <c r="R16" i="105"/>
  <c r="R15" i="106"/>
  <c r="Q13" i="109"/>
  <c r="R13" i="109"/>
  <c r="Q10" i="105"/>
  <c r="R10" i="105"/>
  <c r="Q24" i="109"/>
  <c r="R24" i="109"/>
  <c r="O50" i="108"/>
  <c r="P50" i="108" s="1"/>
  <c r="K18" i="85"/>
  <c r="M18" i="85" s="1"/>
  <c r="L19" i="85"/>
  <c r="M19" i="85" s="1"/>
  <c r="R37" i="108"/>
  <c r="Q37" i="108"/>
  <c r="R21" i="108"/>
  <c r="R16" i="107"/>
  <c r="R14" i="105"/>
  <c r="Q14" i="105"/>
  <c r="Q34" i="108"/>
  <c r="R34" i="108"/>
  <c r="O25" i="104"/>
  <c r="P25" i="104" s="1"/>
  <c r="O11" i="103"/>
  <c r="P11" i="103" s="1"/>
  <c r="O47" i="102"/>
  <c r="P47" i="102" s="1"/>
  <c r="O44" i="108"/>
  <c r="P44" i="108" s="1"/>
  <c r="L10" i="100"/>
  <c r="F21" i="100"/>
  <c r="L17" i="100"/>
  <c r="M17" i="100"/>
  <c r="R19" i="100"/>
  <c r="S19" i="100" s="1"/>
  <c r="Q20" i="109"/>
  <c r="R20" i="109"/>
  <c r="R17" i="106"/>
  <c r="Q17" i="106"/>
  <c r="Q24" i="105"/>
  <c r="R24" i="105"/>
  <c r="Q29" i="108"/>
  <c r="R29" i="108"/>
  <c r="R25" i="110"/>
  <c r="Q25" i="110"/>
  <c r="O14" i="104"/>
  <c r="P14" i="104" s="1"/>
  <c r="O12" i="102"/>
  <c r="R41" i="102"/>
  <c r="Q41" i="102"/>
  <c r="O12" i="99"/>
  <c r="P12" i="99" s="1"/>
  <c r="O18" i="109"/>
  <c r="P18" i="109" s="1"/>
  <c r="L21" i="101"/>
  <c r="M21" i="101" s="1"/>
  <c r="AG18" i="81"/>
  <c r="AH18" i="81" s="1"/>
  <c r="B10" i="42"/>
  <c r="L35" i="84"/>
  <c r="M35" i="84" s="1"/>
  <c r="F13" i="42"/>
  <c r="G13" i="42"/>
  <c r="Q12" i="110"/>
  <c r="S12" i="110" s="1"/>
  <c r="T12" i="110"/>
  <c r="V12" i="110" s="1"/>
  <c r="R17" i="102"/>
  <c r="S17" i="102" s="1"/>
  <c r="Q43" i="108"/>
  <c r="R43" i="108"/>
  <c r="R10" i="110"/>
  <c r="Q9" i="107"/>
  <c r="Q24" i="110"/>
  <c r="R24" i="110"/>
  <c r="Q36" i="108"/>
  <c r="R36" i="108"/>
  <c r="O23" i="104"/>
  <c r="P23" i="104" s="1"/>
  <c r="O50" i="102"/>
  <c r="P50" i="102" s="1"/>
  <c r="O13" i="103"/>
  <c r="P13" i="103" s="1"/>
  <c r="Q40" i="102"/>
  <c r="O20" i="100"/>
  <c r="P20" i="100" s="1"/>
  <c r="O23" i="109"/>
  <c r="P23" i="109" s="1"/>
  <c r="O14" i="110"/>
  <c r="P14" i="110" s="1"/>
  <c r="L27" i="108"/>
  <c r="M27" i="108" s="1"/>
  <c r="O27" i="99"/>
  <c r="P27" i="99" s="1"/>
  <c r="AG25" i="99"/>
  <c r="AH25" i="99" s="1"/>
  <c r="AG14" i="101"/>
  <c r="AH14" i="101" s="1"/>
  <c r="AG15" i="101"/>
  <c r="AH15" i="101" s="1"/>
  <c r="AG21" i="101"/>
  <c r="AH21" i="101" s="1"/>
  <c r="K22" i="102"/>
  <c r="L22" i="102"/>
  <c r="L25" i="102"/>
  <c r="J25" i="102"/>
  <c r="K25" i="102"/>
  <c r="L33" i="102"/>
  <c r="M33" i="102" s="1"/>
  <c r="L17" i="105"/>
  <c r="M17" i="105" s="1"/>
  <c r="AH9" i="107"/>
  <c r="L21" i="107"/>
  <c r="M21" i="107" s="1"/>
  <c r="K9" i="108"/>
  <c r="M9" i="108" s="1"/>
  <c r="F64" i="108"/>
  <c r="K11" i="108"/>
  <c r="L11" i="108"/>
  <c r="K15" i="108"/>
  <c r="M15" i="108" s="1"/>
  <c r="L25" i="108"/>
  <c r="J25" i="108"/>
  <c r="M25" i="108" s="1"/>
  <c r="K11" i="109"/>
  <c r="L11" i="109"/>
  <c r="M14" i="99"/>
  <c r="AH21" i="99"/>
  <c r="AG24" i="99"/>
  <c r="AH24" i="99" s="1"/>
  <c r="M11" i="100"/>
  <c r="AH9" i="101"/>
  <c r="AG17" i="101"/>
  <c r="AH17" i="101" s="1"/>
  <c r="AG11" i="102"/>
  <c r="M12" i="105"/>
  <c r="M21" i="105"/>
  <c r="M23" i="110"/>
  <c r="AG12" i="99"/>
  <c r="AH12" i="99" s="1"/>
  <c r="AG13" i="102"/>
  <c r="AH13" i="102" s="1"/>
  <c r="L15" i="104"/>
  <c r="K15" i="104"/>
  <c r="L18" i="104"/>
  <c r="M18" i="104" s="1"/>
  <c r="L19" i="105"/>
  <c r="M19" i="105" s="1"/>
  <c r="L19" i="107"/>
  <c r="K19" i="107"/>
  <c r="L24" i="108"/>
  <c r="M24" i="108" s="1"/>
  <c r="O40" i="108"/>
  <c r="P40" i="108" s="1"/>
  <c r="L47" i="108"/>
  <c r="M47" i="108" s="1"/>
  <c r="L17" i="109"/>
  <c r="M17" i="109" s="1"/>
  <c r="K21" i="109"/>
  <c r="M21" i="109" s="1"/>
  <c r="L11" i="110"/>
  <c r="M11" i="110" s="1"/>
  <c r="M13" i="106"/>
  <c r="M14" i="106"/>
  <c r="AG12" i="101"/>
  <c r="L32" i="102"/>
  <c r="J32" i="102"/>
  <c r="L19" i="104"/>
  <c r="K19" i="104"/>
  <c r="K13" i="105"/>
  <c r="L13" i="105"/>
  <c r="L11" i="106"/>
  <c r="O22" i="107"/>
  <c r="P22" i="107" s="1"/>
  <c r="K23" i="108"/>
  <c r="L23" i="108"/>
  <c r="J23" i="108"/>
  <c r="L19" i="109"/>
  <c r="M19" i="109" s="1"/>
  <c r="K20" i="110"/>
  <c r="L20" i="110"/>
  <c r="K66" i="102"/>
  <c r="M32" i="108"/>
  <c r="AF28" i="99"/>
  <c r="AG16" i="99"/>
  <c r="AH16" i="99" s="1"/>
  <c r="AG10" i="100"/>
  <c r="AG11" i="99"/>
  <c r="AH11" i="99" s="1"/>
  <c r="O26" i="99"/>
  <c r="P26" i="99" s="1"/>
  <c r="O38" i="102"/>
  <c r="P38" i="102" s="1"/>
  <c r="L19" i="103"/>
  <c r="L17" i="104"/>
  <c r="M17" i="104" s="1"/>
  <c r="L20" i="106"/>
  <c r="M20" i="106" s="1"/>
  <c r="L15" i="107"/>
  <c r="M15" i="107" s="1"/>
  <c r="K28" i="108"/>
  <c r="M28" i="108" s="1"/>
  <c r="O39" i="108"/>
  <c r="P39" i="108" s="1"/>
  <c r="L13" i="110"/>
  <c r="M13" i="110" s="1"/>
  <c r="M16" i="108"/>
  <c r="M30" i="108"/>
  <c r="AG10" i="103"/>
  <c r="AH21" i="104"/>
  <c r="AC21" i="106"/>
  <c r="AG10" i="106"/>
  <c r="F11" i="107"/>
  <c r="AH20" i="108"/>
  <c r="AG39" i="108"/>
  <c r="AH39" i="108" s="1"/>
  <c r="AG49" i="108"/>
  <c r="AH49" i="108" s="1"/>
  <c r="AG22" i="109"/>
  <c r="AH22" i="109" s="1"/>
  <c r="AH14" i="110"/>
  <c r="AG27" i="110"/>
  <c r="AG22" i="104"/>
  <c r="AH22" i="104" s="1"/>
  <c r="AG23" i="104"/>
  <c r="AH23" i="104" s="1"/>
  <c r="M10" i="107"/>
  <c r="L35" i="102"/>
  <c r="M35" i="102" s="1"/>
  <c r="M12" i="103"/>
  <c r="AG13" i="104"/>
  <c r="AH13" i="104" s="1"/>
  <c r="AG17" i="104"/>
  <c r="AH17" i="104" s="1"/>
  <c r="AG20" i="104"/>
  <c r="AH20" i="104" s="1"/>
  <c r="AG27" i="104"/>
  <c r="AH27" i="104" s="1"/>
  <c r="AG12" i="105"/>
  <c r="AG18" i="105"/>
  <c r="AH18" i="105" s="1"/>
  <c r="K10" i="106"/>
  <c r="L14" i="107"/>
  <c r="M14" i="107" s="1"/>
  <c r="AG16" i="107"/>
  <c r="AH16" i="107" s="1"/>
  <c r="AG12" i="108"/>
  <c r="O41" i="108"/>
  <c r="P41" i="108" s="1"/>
  <c r="AG20" i="109"/>
  <c r="R37" i="102" l="1"/>
  <c r="Q37" i="102"/>
  <c r="M16" i="84"/>
  <c r="O16" i="84" s="1"/>
  <c r="P16" i="84" s="1"/>
  <c r="R16" i="84" s="1"/>
  <c r="M30" i="102"/>
  <c r="O30" i="102" s="1"/>
  <c r="P30" i="102" s="1"/>
  <c r="R30" i="102" s="1"/>
  <c r="K23" i="101"/>
  <c r="S12" i="86"/>
  <c r="P20" i="105"/>
  <c r="R20" i="105" s="1"/>
  <c r="Q13" i="107"/>
  <c r="S13" i="107" s="1"/>
  <c r="T13" i="107" s="1"/>
  <c r="V13" i="107" s="1"/>
  <c r="R14" i="100"/>
  <c r="R18" i="86"/>
  <c r="P31" i="108"/>
  <c r="R31" i="108" s="1"/>
  <c r="P21" i="104"/>
  <c r="Q21" i="104" s="1"/>
  <c r="L66" i="102"/>
  <c r="F52" i="84"/>
  <c r="S19" i="99"/>
  <c r="T19" i="99" s="1"/>
  <c r="V19" i="99" s="1"/>
  <c r="AK19" i="99" s="1"/>
  <c r="Q26" i="110"/>
  <c r="S10" i="80"/>
  <c r="Q34" i="84"/>
  <c r="M16" i="85"/>
  <c r="O16" i="85" s="1"/>
  <c r="P16" i="85" s="1"/>
  <c r="Q16" i="85" s="1"/>
  <c r="M28" i="84"/>
  <c r="O28" i="84" s="1"/>
  <c r="P28" i="84" s="1"/>
  <c r="R28" i="84" s="1"/>
  <c r="M22" i="109"/>
  <c r="O22" i="109" s="1"/>
  <c r="P22" i="109" s="1"/>
  <c r="O51" i="102"/>
  <c r="P51" i="102"/>
  <c r="Q51" i="102" s="1"/>
  <c r="R12" i="106"/>
  <c r="Q12" i="106"/>
  <c r="W38" i="108"/>
  <c r="AI38" i="108"/>
  <c r="K21" i="106"/>
  <c r="AG21" i="106"/>
  <c r="R18" i="105"/>
  <c r="R45" i="102"/>
  <c r="S45" i="102" s="1"/>
  <c r="T45" i="102" s="1"/>
  <c r="V45" i="102" s="1"/>
  <c r="Q30" i="102"/>
  <c r="L21" i="100"/>
  <c r="R35" i="108"/>
  <c r="S35" i="108" s="1"/>
  <c r="T35" i="108" s="1"/>
  <c r="V35" i="108" s="1"/>
  <c r="Q29" i="84"/>
  <c r="S29" i="84" s="1"/>
  <c r="M13" i="81"/>
  <c r="O13" i="81" s="1"/>
  <c r="P13" i="81" s="1"/>
  <c r="Q20" i="80"/>
  <c r="M18" i="101"/>
  <c r="O18" i="101" s="1"/>
  <c r="P18" i="101" s="1"/>
  <c r="R18" i="101" s="1"/>
  <c r="L9" i="106"/>
  <c r="M9" i="106" s="1"/>
  <c r="O27" i="105"/>
  <c r="P27" i="105"/>
  <c r="Q12" i="100"/>
  <c r="R12" i="100"/>
  <c r="R33" i="84"/>
  <c r="S33" i="84" s="1"/>
  <c r="P18" i="106"/>
  <c r="Q18" i="106" s="1"/>
  <c r="J65" i="84"/>
  <c r="J67" i="84" s="1"/>
  <c r="R9" i="105"/>
  <c r="S9" i="105" s="1"/>
  <c r="T9" i="105" s="1"/>
  <c r="V9" i="105" s="1"/>
  <c r="O27" i="104"/>
  <c r="P27" i="104"/>
  <c r="K21" i="100"/>
  <c r="P27" i="110"/>
  <c r="Q27" i="110" s="1"/>
  <c r="E23" i="101"/>
  <c r="P21" i="102"/>
  <c r="Q21" i="102" s="1"/>
  <c r="M10" i="106"/>
  <c r="O10" i="106" s="1"/>
  <c r="P10" i="106" s="1"/>
  <c r="AG28" i="110"/>
  <c r="AG25" i="103"/>
  <c r="AG21" i="100"/>
  <c r="Q21" i="99"/>
  <c r="S21" i="99" s="1"/>
  <c r="S16" i="99"/>
  <c r="T16" i="99" s="1"/>
  <c r="V16" i="99" s="1"/>
  <c r="AK16" i="99" s="1"/>
  <c r="R46" i="102"/>
  <c r="S46" i="102" s="1"/>
  <c r="S14" i="105"/>
  <c r="E52" i="84"/>
  <c r="AG28" i="80"/>
  <c r="S44" i="84"/>
  <c r="T44" i="84" s="1"/>
  <c r="V44" i="84" s="1"/>
  <c r="Q26" i="84"/>
  <c r="E67" i="102"/>
  <c r="F28" i="99"/>
  <c r="S37" i="102"/>
  <c r="P17" i="107"/>
  <c r="R17" i="107" s="1"/>
  <c r="M15" i="110"/>
  <c r="O15" i="110" s="1"/>
  <c r="P15" i="110" s="1"/>
  <c r="P10" i="101"/>
  <c r="R10" i="101" s="1"/>
  <c r="M19" i="108"/>
  <c r="M22" i="103"/>
  <c r="O22" i="103" s="1"/>
  <c r="P22" i="103" s="1"/>
  <c r="R22" i="103" s="1"/>
  <c r="R49" i="84"/>
  <c r="Q49" i="84"/>
  <c r="S49" i="84" s="1"/>
  <c r="T49" i="84" s="1"/>
  <c r="V49" i="84" s="1"/>
  <c r="R49" i="108"/>
  <c r="Q49" i="108"/>
  <c r="S49" i="108" s="1"/>
  <c r="T49" i="108" s="1"/>
  <c r="V49" i="108" s="1"/>
  <c r="Q13" i="85"/>
  <c r="R13" i="85"/>
  <c r="O13" i="104"/>
  <c r="P13" i="104"/>
  <c r="R14" i="108"/>
  <c r="Q14" i="108"/>
  <c r="W17" i="110"/>
  <c r="AI17" i="110"/>
  <c r="R22" i="80"/>
  <c r="Q22" i="80"/>
  <c r="M11" i="109"/>
  <c r="M11" i="84"/>
  <c r="M12" i="107"/>
  <c r="O12" i="107" s="1"/>
  <c r="P12" i="107" s="1"/>
  <c r="S24" i="105"/>
  <c r="T24" i="105" s="1"/>
  <c r="V24" i="105" s="1"/>
  <c r="S13" i="109"/>
  <c r="T13" i="109" s="1"/>
  <c r="V13" i="109" s="1"/>
  <c r="S16" i="105"/>
  <c r="T16" i="105" s="1"/>
  <c r="V16" i="105" s="1"/>
  <c r="AG52" i="84"/>
  <c r="M16" i="81"/>
  <c r="O16" i="81" s="1"/>
  <c r="P16" i="81" s="1"/>
  <c r="S19" i="80"/>
  <c r="P13" i="100"/>
  <c r="Q13" i="100" s="1"/>
  <c r="M66" i="102"/>
  <c r="M16" i="106"/>
  <c r="O16" i="106" s="1"/>
  <c r="P16" i="106" s="1"/>
  <c r="M18" i="102"/>
  <c r="O18" i="102" s="1"/>
  <c r="F52" i="108"/>
  <c r="P10" i="103"/>
  <c r="R10" i="103" s="1"/>
  <c r="M10" i="81"/>
  <c r="S17" i="101"/>
  <c r="T17" i="101" s="1"/>
  <c r="V17" i="101" s="1"/>
  <c r="M22" i="110"/>
  <c r="O22" i="110" s="1"/>
  <c r="P22" i="110" s="1"/>
  <c r="R10" i="102"/>
  <c r="Q10" i="102"/>
  <c r="K28" i="104"/>
  <c r="S18" i="105"/>
  <c r="T18" i="105" s="1"/>
  <c r="V18" i="105" s="1"/>
  <c r="AK18" i="105" s="1"/>
  <c r="L28" i="86"/>
  <c r="T10" i="80"/>
  <c r="V10" i="80" s="1"/>
  <c r="AM10" i="80" s="1"/>
  <c r="P30" i="84"/>
  <c r="Q30" i="84" s="1"/>
  <c r="O26" i="105"/>
  <c r="P26" i="105" s="1"/>
  <c r="O26" i="104"/>
  <c r="P26" i="104"/>
  <c r="O22" i="105"/>
  <c r="P22" i="105" s="1"/>
  <c r="M19" i="104"/>
  <c r="S40" i="102"/>
  <c r="T40" i="102" s="1"/>
  <c r="V40" i="102" s="1"/>
  <c r="W40" i="102" s="1"/>
  <c r="S36" i="108"/>
  <c r="T36" i="108" s="1"/>
  <c r="V36" i="108" s="1"/>
  <c r="S29" i="108"/>
  <c r="S34" i="108"/>
  <c r="S10" i="105"/>
  <c r="T10" i="105" s="1"/>
  <c r="S15" i="106"/>
  <c r="T15" i="106" s="1"/>
  <c r="V15" i="106" s="1"/>
  <c r="S15" i="109"/>
  <c r="T15" i="109" s="1"/>
  <c r="V15" i="109" s="1"/>
  <c r="AI15" i="109" s="1"/>
  <c r="S41" i="84"/>
  <c r="M16" i="109"/>
  <c r="O16" i="109" s="1"/>
  <c r="P16" i="109" s="1"/>
  <c r="Q16" i="109" s="1"/>
  <c r="S21" i="110"/>
  <c r="T21" i="110" s="1"/>
  <c r="V21" i="110" s="1"/>
  <c r="S23" i="80"/>
  <c r="T23" i="80" s="1"/>
  <c r="V23" i="80" s="1"/>
  <c r="M24" i="102"/>
  <c r="O24" i="102" s="1"/>
  <c r="P24" i="102" s="1"/>
  <c r="R24" i="102" s="1"/>
  <c r="M25" i="99"/>
  <c r="O25" i="99" s="1"/>
  <c r="P25" i="99" s="1"/>
  <c r="Q25" i="99" s="1"/>
  <c r="M12" i="101"/>
  <c r="O12" i="101" s="1"/>
  <c r="P12" i="101" s="1"/>
  <c r="Q12" i="101" s="1"/>
  <c r="Q12" i="109"/>
  <c r="R12" i="109"/>
  <c r="R46" i="108"/>
  <c r="Q46" i="108"/>
  <c r="R10" i="104"/>
  <c r="Q10" i="104"/>
  <c r="S10" i="104" s="1"/>
  <c r="T10" i="104" s="1"/>
  <c r="V10" i="104" s="1"/>
  <c r="Q20" i="101"/>
  <c r="R20" i="101"/>
  <c r="AK49" i="108"/>
  <c r="AL49" i="108" s="1"/>
  <c r="AI49" i="108"/>
  <c r="W49" i="108"/>
  <c r="O10" i="81"/>
  <c r="P10" i="81" s="1"/>
  <c r="R13" i="99"/>
  <c r="Q13" i="99"/>
  <c r="S13" i="99" s="1"/>
  <c r="R22" i="85"/>
  <c r="Q22" i="85"/>
  <c r="O20" i="104"/>
  <c r="P20" i="104" s="1"/>
  <c r="R39" i="102"/>
  <c r="Q39" i="102"/>
  <c r="Q15" i="81"/>
  <c r="R15" i="81"/>
  <c r="AI19" i="99"/>
  <c r="AM19" i="99"/>
  <c r="O15" i="105"/>
  <c r="P15" i="105" s="1"/>
  <c r="R26" i="102"/>
  <c r="Q26" i="102"/>
  <c r="AI18" i="110"/>
  <c r="AK18" i="110"/>
  <c r="AL18" i="110" s="1"/>
  <c r="W18" i="110"/>
  <c r="Q14" i="80"/>
  <c r="R14" i="80"/>
  <c r="S14" i="80" s="1"/>
  <c r="AH25" i="85"/>
  <c r="K14" i="42" s="1"/>
  <c r="N14" i="42" s="1"/>
  <c r="R49" i="102"/>
  <c r="Q49" i="102"/>
  <c r="R22" i="108"/>
  <c r="Q22" i="108"/>
  <c r="O37" i="84"/>
  <c r="P37" i="84" s="1"/>
  <c r="AH10" i="106"/>
  <c r="AH21" i="106" s="1"/>
  <c r="M23" i="108"/>
  <c r="O23" i="108" s="1"/>
  <c r="P23" i="108" s="1"/>
  <c r="L21" i="106"/>
  <c r="AH10" i="100"/>
  <c r="AH21" i="100" s="1"/>
  <c r="S14" i="109"/>
  <c r="T14" i="109" s="1"/>
  <c r="V14" i="109" s="1"/>
  <c r="W14" i="109" s="1"/>
  <c r="L9" i="109"/>
  <c r="M9" i="109" s="1"/>
  <c r="K9" i="109"/>
  <c r="O9" i="101"/>
  <c r="P9" i="101" s="1"/>
  <c r="R22" i="101"/>
  <c r="Q22" i="101"/>
  <c r="O23" i="103"/>
  <c r="P23" i="103" s="1"/>
  <c r="O15" i="86"/>
  <c r="P15" i="86" s="1"/>
  <c r="O15" i="102"/>
  <c r="P15" i="102" s="1"/>
  <c r="Q17" i="107"/>
  <c r="R34" i="102"/>
  <c r="Q34" i="102"/>
  <c r="S34" i="102" s="1"/>
  <c r="O19" i="106"/>
  <c r="P19" i="106" s="1"/>
  <c r="Q48" i="102"/>
  <c r="R48" i="102"/>
  <c r="O9" i="100"/>
  <c r="P9" i="100" s="1"/>
  <c r="R11" i="99"/>
  <c r="Q11" i="99"/>
  <c r="R21" i="102"/>
  <c r="O27" i="102"/>
  <c r="P27" i="102" s="1"/>
  <c r="L13" i="102"/>
  <c r="M13" i="102" s="1"/>
  <c r="F65" i="102"/>
  <c r="F67" i="102" s="1"/>
  <c r="O17" i="86"/>
  <c r="P17" i="86" s="1"/>
  <c r="O17" i="81"/>
  <c r="P17" i="81" s="1"/>
  <c r="F52" i="102"/>
  <c r="AG25" i="85"/>
  <c r="AG28" i="99"/>
  <c r="K28" i="110"/>
  <c r="L28" i="105"/>
  <c r="M32" i="102"/>
  <c r="O32" i="102" s="1"/>
  <c r="P32" i="102" s="1"/>
  <c r="P17" i="108"/>
  <c r="Q17" i="108" s="1"/>
  <c r="M15" i="104"/>
  <c r="Q10" i="108"/>
  <c r="S10" i="108" s="1"/>
  <c r="S24" i="110"/>
  <c r="R13" i="101"/>
  <c r="B16" i="42"/>
  <c r="S41" i="102"/>
  <c r="T41" i="102" s="1"/>
  <c r="V41" i="102" s="1"/>
  <c r="S25" i="110"/>
  <c r="T25" i="110" s="1"/>
  <c r="V25" i="110" s="1"/>
  <c r="W25" i="110" s="1"/>
  <c r="S20" i="109"/>
  <c r="T20" i="109" s="1"/>
  <c r="V20" i="109" s="1"/>
  <c r="S21" i="108"/>
  <c r="R23" i="102"/>
  <c r="S23" i="102" s="1"/>
  <c r="AK38" i="108"/>
  <c r="AL38" i="108" s="1"/>
  <c r="S24" i="109"/>
  <c r="T24" i="109" s="1"/>
  <c r="V24" i="109" s="1"/>
  <c r="T38" i="84"/>
  <c r="V38" i="84" s="1"/>
  <c r="E67" i="84"/>
  <c r="W17" i="101"/>
  <c r="L28" i="80"/>
  <c r="S34" i="84"/>
  <c r="T12" i="86"/>
  <c r="V12" i="86" s="1"/>
  <c r="AI12" i="86" s="1"/>
  <c r="R23" i="105"/>
  <c r="Q23" i="105"/>
  <c r="M18" i="103"/>
  <c r="K9" i="103"/>
  <c r="L9" i="103"/>
  <c r="L25" i="103" s="1"/>
  <c r="R16" i="102"/>
  <c r="Q16" i="102"/>
  <c r="S16" i="102" s="1"/>
  <c r="T16" i="102" s="1"/>
  <c r="V16" i="102" s="1"/>
  <c r="S33" i="108"/>
  <c r="T33" i="108" s="1"/>
  <c r="V33" i="108" s="1"/>
  <c r="O26" i="86"/>
  <c r="P26" i="86"/>
  <c r="L18" i="108"/>
  <c r="M18" i="108" s="1"/>
  <c r="O18" i="108" s="1"/>
  <c r="P18" i="108" s="1"/>
  <c r="F66" i="108"/>
  <c r="F67" i="108" s="1"/>
  <c r="M25" i="105"/>
  <c r="O36" i="102"/>
  <c r="P36" i="102" s="1"/>
  <c r="F64" i="84"/>
  <c r="F67" i="84" s="1"/>
  <c r="L10" i="84"/>
  <c r="L64" i="84" s="1"/>
  <c r="K10" i="84"/>
  <c r="K28" i="80"/>
  <c r="M9" i="102"/>
  <c r="L64" i="102"/>
  <c r="S9" i="104"/>
  <c r="T9" i="104" s="1"/>
  <c r="M25" i="80"/>
  <c r="M28" i="80" s="1"/>
  <c r="AH28" i="99"/>
  <c r="T19" i="80"/>
  <c r="V19" i="80" s="1"/>
  <c r="AJ19" i="80" s="1"/>
  <c r="O9" i="110"/>
  <c r="P9" i="110" s="1"/>
  <c r="P48" i="108"/>
  <c r="O48" i="108"/>
  <c r="R17" i="99"/>
  <c r="Q17" i="99"/>
  <c r="R11" i="105"/>
  <c r="Q11" i="105"/>
  <c r="T37" i="102"/>
  <c r="V37" i="102" s="1"/>
  <c r="O31" i="102"/>
  <c r="P31" i="102" s="1"/>
  <c r="R20" i="99"/>
  <c r="Q20" i="99"/>
  <c r="Q9" i="99"/>
  <c r="R9" i="99"/>
  <c r="O10" i="109"/>
  <c r="P10" i="109" s="1"/>
  <c r="E67" i="108"/>
  <c r="L12" i="108"/>
  <c r="L64" i="108" s="1"/>
  <c r="M12" i="108"/>
  <c r="O12" i="108" s="1"/>
  <c r="P12" i="108" s="1"/>
  <c r="Q24" i="99"/>
  <c r="R24" i="99"/>
  <c r="R26" i="108"/>
  <c r="Q26" i="108"/>
  <c r="S26" i="108" s="1"/>
  <c r="T26" i="108" s="1"/>
  <c r="V26" i="108" s="1"/>
  <c r="Q10" i="101"/>
  <c r="O29" i="102"/>
  <c r="P29" i="102"/>
  <c r="O45" i="108"/>
  <c r="P45" i="108" s="1"/>
  <c r="R51" i="102"/>
  <c r="Q19" i="110"/>
  <c r="R19" i="110"/>
  <c r="B13" i="111"/>
  <c r="B13" i="42"/>
  <c r="AG28" i="105"/>
  <c r="AG23" i="101"/>
  <c r="T21" i="99"/>
  <c r="V21" i="99" s="1"/>
  <c r="AK21" i="99" s="1"/>
  <c r="O11" i="102"/>
  <c r="P11" i="102" s="1"/>
  <c r="Q11" i="102" s="1"/>
  <c r="T24" i="103"/>
  <c r="V24" i="103" s="1"/>
  <c r="AK24" i="103" s="1"/>
  <c r="S16" i="107"/>
  <c r="T16" i="107" s="1"/>
  <c r="V16" i="107" s="1"/>
  <c r="W16" i="107" s="1"/>
  <c r="AK17" i="110"/>
  <c r="AL17" i="110" s="1"/>
  <c r="L21" i="81"/>
  <c r="M12" i="81"/>
  <c r="Q24" i="85"/>
  <c r="S24" i="85" s="1"/>
  <c r="T24" i="85" s="1"/>
  <c r="V24" i="85" s="1"/>
  <c r="M10" i="86"/>
  <c r="M28" i="86" s="1"/>
  <c r="K21" i="81"/>
  <c r="S18" i="86"/>
  <c r="S27" i="84"/>
  <c r="T27" i="84" s="1"/>
  <c r="V27" i="84" s="1"/>
  <c r="O18" i="107"/>
  <c r="P18" i="107" s="1"/>
  <c r="R16" i="104"/>
  <c r="Q16" i="104"/>
  <c r="O32" i="84"/>
  <c r="P32" i="84" s="1"/>
  <c r="R21" i="104"/>
  <c r="Q51" i="108"/>
  <c r="R51" i="108"/>
  <c r="K20" i="108"/>
  <c r="K65" i="108" s="1"/>
  <c r="L20" i="108"/>
  <c r="L65" i="108" s="1"/>
  <c r="M15" i="99"/>
  <c r="O23" i="99"/>
  <c r="P23" i="99" s="1"/>
  <c r="L28" i="99"/>
  <c r="Q13" i="104"/>
  <c r="R13" i="104"/>
  <c r="R18" i="106"/>
  <c r="S11" i="104"/>
  <c r="T11" i="104" s="1"/>
  <c r="V11" i="104" s="1"/>
  <c r="L15" i="101"/>
  <c r="L23" i="101" s="1"/>
  <c r="O11" i="101"/>
  <c r="P11" i="101" s="1"/>
  <c r="O13" i="108"/>
  <c r="P13" i="108" s="1"/>
  <c r="L51" i="84"/>
  <c r="M51" i="84" s="1"/>
  <c r="F28" i="80"/>
  <c r="M13" i="80"/>
  <c r="O13" i="80" s="1"/>
  <c r="P13" i="80" s="1"/>
  <c r="R41" i="108"/>
  <c r="Q41" i="108"/>
  <c r="O44" i="102"/>
  <c r="P44" i="102" s="1"/>
  <c r="O13" i="110"/>
  <c r="P13" i="110" s="1"/>
  <c r="O11" i="110"/>
  <c r="P11" i="110" s="1"/>
  <c r="O47" i="108"/>
  <c r="P47" i="108" s="1"/>
  <c r="Q14" i="110"/>
  <c r="R14" i="110"/>
  <c r="R25" i="99"/>
  <c r="Q21" i="103"/>
  <c r="R21" i="103"/>
  <c r="O18" i="85"/>
  <c r="P18" i="85" s="1"/>
  <c r="O15" i="85"/>
  <c r="P15" i="85" s="1"/>
  <c r="O23" i="85"/>
  <c r="P23" i="85" s="1"/>
  <c r="Q39" i="84"/>
  <c r="R39" i="84"/>
  <c r="R23" i="84"/>
  <c r="Q23" i="84"/>
  <c r="R21" i="80"/>
  <c r="Q21" i="80"/>
  <c r="AK19" i="80"/>
  <c r="W19" i="80"/>
  <c r="T34" i="84"/>
  <c r="V34" i="84" s="1"/>
  <c r="O14" i="107"/>
  <c r="P14" i="107"/>
  <c r="O35" i="102"/>
  <c r="P35" i="102" s="1"/>
  <c r="O17" i="109"/>
  <c r="P17" i="109" s="1"/>
  <c r="O24" i="108"/>
  <c r="P24" i="108" s="1"/>
  <c r="R14" i="101"/>
  <c r="Q14" i="101"/>
  <c r="Q14" i="103"/>
  <c r="R14" i="103"/>
  <c r="O19" i="85"/>
  <c r="P19" i="85" s="1"/>
  <c r="O11" i="85"/>
  <c r="P11" i="85" s="1"/>
  <c r="R20" i="85"/>
  <c r="Q20" i="85"/>
  <c r="R26" i="80"/>
  <c r="Q26" i="80"/>
  <c r="Q46" i="84"/>
  <c r="R46" i="84"/>
  <c r="R21" i="85"/>
  <c r="Q21" i="85"/>
  <c r="Q45" i="84"/>
  <c r="R45" i="84"/>
  <c r="Q12" i="80"/>
  <c r="R12" i="80"/>
  <c r="R24" i="84"/>
  <c r="Q24" i="84"/>
  <c r="W12" i="86"/>
  <c r="AK12" i="86"/>
  <c r="AL12" i="86" s="1"/>
  <c r="Q21" i="84"/>
  <c r="R21" i="84"/>
  <c r="Q26" i="99"/>
  <c r="R26" i="99"/>
  <c r="S26" i="99" s="1"/>
  <c r="O19" i="104"/>
  <c r="P19" i="104" s="1"/>
  <c r="O33" i="102"/>
  <c r="P33" i="102" s="1"/>
  <c r="R50" i="102"/>
  <c r="Q50" i="102"/>
  <c r="Q23" i="104"/>
  <c r="R23" i="104"/>
  <c r="O35" i="84"/>
  <c r="P35" i="84" s="1"/>
  <c r="R18" i="109"/>
  <c r="Q18" i="109"/>
  <c r="R17" i="103"/>
  <c r="Q17" i="103"/>
  <c r="Q25" i="104"/>
  <c r="R25" i="104"/>
  <c r="R22" i="104"/>
  <c r="Q22" i="104"/>
  <c r="Q12" i="84"/>
  <c r="R12" i="84"/>
  <c r="R47" i="84"/>
  <c r="Q47" i="84"/>
  <c r="O17" i="84"/>
  <c r="P17" i="84" s="1"/>
  <c r="Q13" i="80"/>
  <c r="R13" i="80"/>
  <c r="R11" i="86"/>
  <c r="Q11" i="86"/>
  <c r="Q22" i="84"/>
  <c r="R22" i="84"/>
  <c r="R43" i="84"/>
  <c r="Q43" i="84"/>
  <c r="AH28" i="104"/>
  <c r="Q22" i="107"/>
  <c r="R22" i="107"/>
  <c r="O17" i="105"/>
  <c r="P17" i="105" s="1"/>
  <c r="R16" i="100"/>
  <c r="Q16" i="100"/>
  <c r="S16" i="100" s="1"/>
  <c r="T16" i="100" s="1"/>
  <c r="V16" i="100" s="1"/>
  <c r="O27" i="108"/>
  <c r="P27" i="108" s="1"/>
  <c r="Q22" i="109"/>
  <c r="R22" i="109"/>
  <c r="R10" i="99"/>
  <c r="Q10" i="99"/>
  <c r="R12" i="99"/>
  <c r="Q12" i="99"/>
  <c r="Q20" i="102"/>
  <c r="R20" i="102"/>
  <c r="R15" i="103"/>
  <c r="Q15" i="103"/>
  <c r="S15" i="103" s="1"/>
  <c r="R11" i="102"/>
  <c r="Q47" i="102"/>
  <c r="R47" i="102"/>
  <c r="AK16" i="107"/>
  <c r="AL16" i="107" s="1"/>
  <c r="R11" i="80"/>
  <c r="Q11" i="80"/>
  <c r="O36" i="84"/>
  <c r="P36" i="84" s="1"/>
  <c r="Q28" i="84"/>
  <c r="R15" i="80"/>
  <c r="Q15" i="80"/>
  <c r="Q50" i="84"/>
  <c r="R50" i="84"/>
  <c r="T29" i="108"/>
  <c r="V29" i="108" s="1"/>
  <c r="O12" i="103"/>
  <c r="P12" i="103" s="1"/>
  <c r="O32" i="108"/>
  <c r="P32" i="108" s="1"/>
  <c r="Q40" i="108"/>
  <c r="R40" i="108"/>
  <c r="O18" i="104"/>
  <c r="O23" i="110"/>
  <c r="P23" i="110" s="1"/>
  <c r="O14" i="99"/>
  <c r="K66" i="108"/>
  <c r="M11" i="108"/>
  <c r="K64" i="108"/>
  <c r="K52" i="108"/>
  <c r="S26" i="110"/>
  <c r="T26" i="110" s="1"/>
  <c r="V26" i="110" s="1"/>
  <c r="S14" i="100"/>
  <c r="T14" i="100" s="1"/>
  <c r="V14" i="100" s="1"/>
  <c r="S12" i="104"/>
  <c r="T12" i="104" s="1"/>
  <c r="V12" i="104" s="1"/>
  <c r="Q27" i="80"/>
  <c r="R27" i="80"/>
  <c r="O31" i="84"/>
  <c r="P31" i="84" s="1"/>
  <c r="O16" i="86"/>
  <c r="P16" i="86" s="1"/>
  <c r="O9" i="81"/>
  <c r="P9" i="81" s="1"/>
  <c r="O12" i="85"/>
  <c r="P12" i="85" s="1"/>
  <c r="O24" i="80"/>
  <c r="P24" i="80" s="1"/>
  <c r="M11" i="106"/>
  <c r="AG23" i="107"/>
  <c r="M28" i="99"/>
  <c r="T17" i="102"/>
  <c r="V17" i="102" s="1"/>
  <c r="T19" i="100"/>
  <c r="V19" i="100" s="1"/>
  <c r="M10" i="100"/>
  <c r="T34" i="108"/>
  <c r="V34" i="108" s="1"/>
  <c r="T21" i="108"/>
  <c r="V21" i="108" s="1"/>
  <c r="M19" i="86"/>
  <c r="T18" i="86"/>
  <c r="V18" i="86" s="1"/>
  <c r="S20" i="80"/>
  <c r="T20" i="80" s="1"/>
  <c r="V20" i="80" s="1"/>
  <c r="O10" i="107"/>
  <c r="P10" i="107" s="1"/>
  <c r="O30" i="108"/>
  <c r="P30" i="108" s="1"/>
  <c r="K28" i="105"/>
  <c r="M13" i="105"/>
  <c r="M28" i="105" s="1"/>
  <c r="K23" i="107"/>
  <c r="M19" i="107"/>
  <c r="O25" i="108"/>
  <c r="P25" i="108" s="1"/>
  <c r="O9" i="108"/>
  <c r="P9" i="108" s="1"/>
  <c r="Q23" i="109"/>
  <c r="R23" i="109"/>
  <c r="Q20" i="100"/>
  <c r="R20" i="100"/>
  <c r="S20" i="100" s="1"/>
  <c r="AM21" i="99"/>
  <c r="W12" i="110"/>
  <c r="AI12" i="110"/>
  <c r="AK12" i="110"/>
  <c r="AL12" i="110" s="1"/>
  <c r="Q20" i="107"/>
  <c r="S20" i="107" s="1"/>
  <c r="T20" i="107" s="1"/>
  <c r="V20" i="107" s="1"/>
  <c r="R20" i="107"/>
  <c r="R13" i="100"/>
  <c r="R11" i="103"/>
  <c r="Q11" i="103"/>
  <c r="Q24" i="102"/>
  <c r="O13" i="84"/>
  <c r="P13" i="84" s="1"/>
  <c r="O18" i="80"/>
  <c r="P18" i="80" s="1"/>
  <c r="O19" i="81"/>
  <c r="P19" i="81" s="1"/>
  <c r="Q13" i="86"/>
  <c r="R13" i="86"/>
  <c r="S13" i="86" s="1"/>
  <c r="Q48" i="84"/>
  <c r="R48" i="84"/>
  <c r="Q19" i="84"/>
  <c r="R19" i="84"/>
  <c r="O9" i="86"/>
  <c r="P9" i="86" s="1"/>
  <c r="Q22" i="86"/>
  <c r="R22" i="86"/>
  <c r="AG25" i="109"/>
  <c r="AG52" i="108"/>
  <c r="AG28" i="104"/>
  <c r="M19" i="103"/>
  <c r="AH12" i="105"/>
  <c r="AH28" i="105" s="1"/>
  <c r="M20" i="110"/>
  <c r="L28" i="110"/>
  <c r="L28" i="104"/>
  <c r="AH27" i="110"/>
  <c r="AH28" i="110" s="1"/>
  <c r="AH12" i="108"/>
  <c r="AH52" i="108" s="1"/>
  <c r="AH23" i="107"/>
  <c r="T24" i="110"/>
  <c r="V24" i="110" s="1"/>
  <c r="W24" i="110" s="1"/>
  <c r="P12" i="102"/>
  <c r="T46" i="102"/>
  <c r="V46" i="102" s="1"/>
  <c r="T14" i="105"/>
  <c r="V14" i="105" s="1"/>
  <c r="T20" i="103"/>
  <c r="V20" i="103" s="1"/>
  <c r="T33" i="84"/>
  <c r="V33" i="84" s="1"/>
  <c r="M14" i="85"/>
  <c r="S23" i="86"/>
  <c r="T23" i="86" s="1"/>
  <c r="V23" i="86" s="1"/>
  <c r="AH10" i="80"/>
  <c r="AH28" i="80" s="1"/>
  <c r="T41" i="84"/>
  <c r="V41" i="84" s="1"/>
  <c r="K28" i="86"/>
  <c r="S26" i="84"/>
  <c r="T26" i="84" s="1"/>
  <c r="V26" i="84" s="1"/>
  <c r="L65" i="84"/>
  <c r="O28" i="108"/>
  <c r="P28" i="108" s="1"/>
  <c r="O20" i="106"/>
  <c r="P20" i="106"/>
  <c r="J52" i="108"/>
  <c r="J65" i="108"/>
  <c r="J67" i="108" s="1"/>
  <c r="O13" i="106"/>
  <c r="P13" i="106" s="1"/>
  <c r="O21" i="109"/>
  <c r="P21" i="109" s="1"/>
  <c r="O19" i="105"/>
  <c r="P19" i="105" s="1"/>
  <c r="O15" i="104"/>
  <c r="P15" i="104" s="1"/>
  <c r="M28" i="104"/>
  <c r="O12" i="105"/>
  <c r="AH11" i="102"/>
  <c r="AH52" i="102" s="1"/>
  <c r="AG52" i="102"/>
  <c r="O11" i="109"/>
  <c r="P11" i="109" s="1"/>
  <c r="O15" i="108"/>
  <c r="P15" i="108" s="1"/>
  <c r="O21" i="107"/>
  <c r="P21" i="107" s="1"/>
  <c r="M25" i="102"/>
  <c r="J65" i="102"/>
  <c r="J67" i="102" s="1"/>
  <c r="J52" i="102"/>
  <c r="AJ18" i="105"/>
  <c r="W18" i="105"/>
  <c r="Q16" i="110"/>
  <c r="R16" i="110"/>
  <c r="Q18" i="100"/>
  <c r="R18" i="100"/>
  <c r="R13" i="103"/>
  <c r="Q13" i="103"/>
  <c r="S10" i="110"/>
  <c r="T10" i="110" s="1"/>
  <c r="W16" i="99"/>
  <c r="R28" i="102"/>
  <c r="Q28" i="102"/>
  <c r="S28" i="102" s="1"/>
  <c r="T28" i="102" s="1"/>
  <c r="V28" i="102" s="1"/>
  <c r="Q14" i="104"/>
  <c r="R14" i="104"/>
  <c r="O17" i="100"/>
  <c r="P17" i="100" s="1"/>
  <c r="Q43" i="102"/>
  <c r="R43" i="102"/>
  <c r="R16" i="103"/>
  <c r="Q16" i="103"/>
  <c r="R18" i="99"/>
  <c r="Q18" i="99"/>
  <c r="R16" i="109"/>
  <c r="Q25" i="86"/>
  <c r="R25" i="86"/>
  <c r="O20" i="81"/>
  <c r="P20" i="81" s="1"/>
  <c r="O18" i="81"/>
  <c r="P18" i="81" s="1"/>
  <c r="K9" i="85"/>
  <c r="K25" i="85" s="1"/>
  <c r="F25" i="85"/>
  <c r="L9" i="85"/>
  <c r="L25" i="85" s="1"/>
  <c r="O14" i="81"/>
  <c r="P14" i="81" s="1"/>
  <c r="O20" i="84"/>
  <c r="P20" i="84" s="1"/>
  <c r="Q15" i="84"/>
  <c r="R15" i="84"/>
  <c r="R17" i="80"/>
  <c r="Q17" i="80"/>
  <c r="Q17" i="85"/>
  <c r="R17" i="85"/>
  <c r="R14" i="84"/>
  <c r="Q14" i="84"/>
  <c r="O11" i="84"/>
  <c r="O66" i="84" s="1"/>
  <c r="M66" i="84"/>
  <c r="AI44" i="84"/>
  <c r="AK44" i="84"/>
  <c r="AL44" i="84" s="1"/>
  <c r="W44" i="84"/>
  <c r="Q20" i="86"/>
  <c r="R20" i="86"/>
  <c r="R40" i="84"/>
  <c r="Q40" i="84"/>
  <c r="R27" i="86"/>
  <c r="Q27" i="86"/>
  <c r="R25" i="84"/>
  <c r="Q25" i="84"/>
  <c r="T16" i="101"/>
  <c r="V16" i="101" s="1"/>
  <c r="AH21" i="81"/>
  <c r="AG21" i="81"/>
  <c r="F23" i="107"/>
  <c r="L11" i="107"/>
  <c r="L23" i="107" s="1"/>
  <c r="O16" i="108"/>
  <c r="P16" i="108" s="1"/>
  <c r="Q39" i="108"/>
  <c r="R39" i="108"/>
  <c r="O15" i="107"/>
  <c r="P15" i="107" s="1"/>
  <c r="O17" i="104"/>
  <c r="P17" i="104" s="1"/>
  <c r="Q38" i="102"/>
  <c r="R38" i="102"/>
  <c r="O19" i="102"/>
  <c r="P19" i="102" s="1"/>
  <c r="O19" i="109"/>
  <c r="P19" i="109" s="1"/>
  <c r="O14" i="106"/>
  <c r="P14" i="106" s="1"/>
  <c r="O21" i="105"/>
  <c r="P21" i="105" s="1"/>
  <c r="O11" i="100"/>
  <c r="P11" i="100" s="1"/>
  <c r="K65" i="102"/>
  <c r="K67" i="102" s="1"/>
  <c r="K52" i="102"/>
  <c r="M22" i="102"/>
  <c r="O19" i="101"/>
  <c r="R27" i="99"/>
  <c r="Q27" i="99"/>
  <c r="O21" i="101"/>
  <c r="P21" i="101" s="1"/>
  <c r="R15" i="100"/>
  <c r="Q15" i="100"/>
  <c r="Q44" i="108"/>
  <c r="R44" i="108"/>
  <c r="R50" i="108"/>
  <c r="Q50" i="108"/>
  <c r="S50" i="108" s="1"/>
  <c r="R22" i="99"/>
  <c r="Q22" i="99"/>
  <c r="Q14" i="102"/>
  <c r="R14" i="102"/>
  <c r="S14" i="102" s="1"/>
  <c r="AK38" i="84"/>
  <c r="AL38" i="84" s="1"/>
  <c r="W38" i="84"/>
  <c r="AI38" i="84"/>
  <c r="V9" i="104"/>
  <c r="O21" i="86"/>
  <c r="P21" i="86" s="1"/>
  <c r="O12" i="81"/>
  <c r="P12" i="81" s="1"/>
  <c r="O11" i="81"/>
  <c r="P11" i="81" s="1"/>
  <c r="O14" i="86"/>
  <c r="P14" i="86" s="1"/>
  <c r="O24" i="86"/>
  <c r="P24" i="86" s="1"/>
  <c r="O10" i="85"/>
  <c r="P10" i="85" s="1"/>
  <c r="R9" i="80"/>
  <c r="Q9" i="80"/>
  <c r="S9" i="80" s="1"/>
  <c r="K15" i="111"/>
  <c r="Q15" i="111" s="1"/>
  <c r="K15" i="42"/>
  <c r="N15" i="42" s="1"/>
  <c r="R9" i="84"/>
  <c r="Q9" i="84"/>
  <c r="Q18" i="84"/>
  <c r="R18" i="84"/>
  <c r="Q16" i="80"/>
  <c r="R16" i="80"/>
  <c r="R30" i="84"/>
  <c r="AH10" i="103"/>
  <c r="AH25" i="103" s="1"/>
  <c r="AH12" i="101"/>
  <c r="AH23" i="101" s="1"/>
  <c r="AH20" i="109"/>
  <c r="AH25" i="109" s="1"/>
  <c r="S9" i="107"/>
  <c r="T9" i="107" s="1"/>
  <c r="S43" i="108"/>
  <c r="T43" i="108" s="1"/>
  <c r="V43" i="108" s="1"/>
  <c r="K25" i="109"/>
  <c r="S17" i="106"/>
  <c r="T17" i="106" s="1"/>
  <c r="V17" i="106" s="1"/>
  <c r="S37" i="108"/>
  <c r="T37" i="108" s="1"/>
  <c r="V37" i="108" s="1"/>
  <c r="AH14" i="84"/>
  <c r="AH52" i="84" s="1"/>
  <c r="AJ16" i="99" l="1"/>
  <c r="W21" i="99"/>
  <c r="S16" i="80"/>
  <c r="T16" i="80" s="1"/>
  <c r="V16" i="80" s="1"/>
  <c r="AI10" i="80"/>
  <c r="M28" i="110"/>
  <c r="Q16" i="84"/>
  <c r="S16" i="84" s="1"/>
  <c r="AI16" i="107"/>
  <c r="R16" i="85"/>
  <c r="S16" i="85" s="1"/>
  <c r="T16" i="85" s="1"/>
  <c r="V16" i="85" s="1"/>
  <c r="AI14" i="109"/>
  <c r="Q31" i="108"/>
  <c r="M21" i="81"/>
  <c r="S19" i="110"/>
  <c r="T19" i="110" s="1"/>
  <c r="V19" i="110" s="1"/>
  <c r="W19" i="110" s="1"/>
  <c r="Q20" i="105"/>
  <c r="W19" i="99"/>
  <c r="AJ19" i="99"/>
  <c r="S21" i="102"/>
  <c r="T21" i="102" s="1"/>
  <c r="V21" i="102" s="1"/>
  <c r="AN19" i="99"/>
  <c r="AJ10" i="80"/>
  <c r="M65" i="84"/>
  <c r="S30" i="102"/>
  <c r="T30" i="102" s="1"/>
  <c r="V30" i="102" s="1"/>
  <c r="W30" i="102" s="1"/>
  <c r="S23" i="109"/>
  <c r="M11" i="107"/>
  <c r="S14" i="84"/>
  <c r="S17" i="80"/>
  <c r="T17" i="80" s="1"/>
  <c r="V17" i="80" s="1"/>
  <c r="AI17" i="80" s="1"/>
  <c r="AK10" i="80"/>
  <c r="Q10" i="103"/>
  <c r="S13" i="103"/>
  <c r="S11" i="103"/>
  <c r="T11" i="103" s="1"/>
  <c r="V11" i="103" s="1"/>
  <c r="L66" i="108"/>
  <c r="S11" i="80"/>
  <c r="S12" i="99"/>
  <c r="R12" i="101"/>
  <c r="S12" i="101" s="1"/>
  <c r="T12" i="101" s="1"/>
  <c r="S14" i="110"/>
  <c r="S48" i="102"/>
  <c r="T48" i="102" s="1"/>
  <c r="V48" i="102" s="1"/>
  <c r="S49" i="102"/>
  <c r="T49" i="102" s="1"/>
  <c r="V49" i="102" s="1"/>
  <c r="AI49" i="102" s="1"/>
  <c r="S12" i="106"/>
  <c r="T12" i="106" s="1"/>
  <c r="V12" i="106" s="1"/>
  <c r="W12" i="106" s="1"/>
  <c r="AJ23" i="80"/>
  <c r="AM23" i="80"/>
  <c r="AI9" i="105"/>
  <c r="AM9" i="105"/>
  <c r="AN9" i="105" s="1"/>
  <c r="AJ9" i="105"/>
  <c r="AK9" i="105"/>
  <c r="AI35" i="108"/>
  <c r="AK35" i="108"/>
  <c r="AL35" i="108" s="1"/>
  <c r="W35" i="108"/>
  <c r="P18" i="102"/>
  <c r="O66" i="102"/>
  <c r="T22" i="80"/>
  <c r="V22" i="80" s="1"/>
  <c r="AK22" i="80" s="1"/>
  <c r="T15" i="100"/>
  <c r="V15" i="100" s="1"/>
  <c r="AI15" i="100" s="1"/>
  <c r="O9" i="106"/>
  <c r="P9" i="106"/>
  <c r="S15" i="100"/>
  <c r="AM16" i="99"/>
  <c r="AN16" i="99" s="1"/>
  <c r="AM18" i="105"/>
  <c r="M21" i="106"/>
  <c r="AI21" i="99"/>
  <c r="Q22" i="103"/>
  <c r="K14" i="111"/>
  <c r="Q14" i="111" s="1"/>
  <c r="W15" i="109"/>
  <c r="S25" i="99"/>
  <c r="T25" i="99" s="1"/>
  <c r="V25" i="99" s="1"/>
  <c r="W25" i="99" s="1"/>
  <c r="S51" i="108"/>
  <c r="T51" i="108" s="1"/>
  <c r="V51" i="108" s="1"/>
  <c r="S22" i="80"/>
  <c r="O19" i="108"/>
  <c r="P19" i="108"/>
  <c r="R27" i="105"/>
  <c r="Q27" i="105"/>
  <c r="S40" i="84"/>
  <c r="T40" i="84" s="1"/>
  <c r="V40" i="84" s="1"/>
  <c r="Q18" i="101"/>
  <c r="S18" i="101" s="1"/>
  <c r="T18" i="101" s="1"/>
  <c r="V18" i="101" s="1"/>
  <c r="AI16" i="99"/>
  <c r="AI18" i="105"/>
  <c r="AJ21" i="99"/>
  <c r="S40" i="108"/>
  <c r="T40" i="108" s="1"/>
  <c r="V40" i="108" s="1"/>
  <c r="S22" i="109"/>
  <c r="T22" i="109" s="1"/>
  <c r="V22" i="109" s="1"/>
  <c r="W22" i="109" s="1"/>
  <c r="S39" i="84"/>
  <c r="T39" i="84" s="1"/>
  <c r="V39" i="84" s="1"/>
  <c r="AK15" i="109"/>
  <c r="S18" i="106"/>
  <c r="T18" i="106" s="1"/>
  <c r="V18" i="106" s="1"/>
  <c r="S9" i="99"/>
  <c r="T9" i="99" s="1"/>
  <c r="V9" i="99" s="1"/>
  <c r="R27" i="110"/>
  <c r="S27" i="110" s="1"/>
  <c r="R27" i="104"/>
  <c r="Q27" i="104"/>
  <c r="S27" i="104"/>
  <c r="T27" i="104" s="1"/>
  <c r="V27" i="104" s="1"/>
  <c r="S12" i="100"/>
  <c r="T12" i="100" s="1"/>
  <c r="V12" i="100" s="1"/>
  <c r="S16" i="103"/>
  <c r="L67" i="84"/>
  <c r="W24" i="103"/>
  <c r="L52" i="108"/>
  <c r="T29" i="84"/>
  <c r="V29" i="84" s="1"/>
  <c r="L25" i="109"/>
  <c r="R17" i="108"/>
  <c r="S17" i="108" s="1"/>
  <c r="T17" i="108" s="1"/>
  <c r="V17" i="108" s="1"/>
  <c r="S47" i="84"/>
  <c r="T47" i="84" s="1"/>
  <c r="V47" i="84" s="1"/>
  <c r="AI47" i="84" s="1"/>
  <c r="S22" i="104"/>
  <c r="T22" i="104" s="1"/>
  <c r="V22" i="104" s="1"/>
  <c r="S18" i="109"/>
  <c r="T18" i="109" s="1"/>
  <c r="V18" i="109" s="1"/>
  <c r="W18" i="109" s="1"/>
  <c r="S21" i="85"/>
  <c r="T21" i="85" s="1"/>
  <c r="V21" i="85" s="1"/>
  <c r="W21" i="85" s="1"/>
  <c r="S14" i="103"/>
  <c r="AM19" i="80"/>
  <c r="AI40" i="102"/>
  <c r="M10" i="84"/>
  <c r="M64" i="84" s="1"/>
  <c r="M67" i="84" s="1"/>
  <c r="S22" i="85"/>
  <c r="R15" i="110"/>
  <c r="Q15" i="110"/>
  <c r="Q26" i="105"/>
  <c r="R26" i="105"/>
  <c r="Q22" i="105"/>
  <c r="R22" i="105"/>
  <c r="S50" i="102"/>
  <c r="T50" i="102" s="1"/>
  <c r="V50" i="102" s="1"/>
  <c r="S45" i="84"/>
  <c r="T45" i="84" s="1"/>
  <c r="V45" i="84" s="1"/>
  <c r="W45" i="84" s="1"/>
  <c r="AI19" i="80"/>
  <c r="S10" i="101"/>
  <c r="T10" i="101" s="1"/>
  <c r="V10" i="101" s="1"/>
  <c r="AI10" i="101" s="1"/>
  <c r="S24" i="99"/>
  <c r="T24" i="99" s="1"/>
  <c r="V24" i="99" s="1"/>
  <c r="AI24" i="99" s="1"/>
  <c r="S20" i="99"/>
  <c r="T20" i="99" s="1"/>
  <c r="V20" i="99" s="1"/>
  <c r="AM20" i="99" s="1"/>
  <c r="S20" i="105"/>
  <c r="T20" i="105" s="1"/>
  <c r="V20" i="105" s="1"/>
  <c r="AJ20" i="105" s="1"/>
  <c r="P11" i="84"/>
  <c r="Q11" i="84" s="1"/>
  <c r="Q66" i="84" s="1"/>
  <c r="T13" i="103"/>
  <c r="V13" i="103" s="1"/>
  <c r="AK13" i="103" s="1"/>
  <c r="S18" i="100"/>
  <c r="T23" i="109"/>
  <c r="V23" i="109" s="1"/>
  <c r="T13" i="99"/>
  <c r="V13" i="99" s="1"/>
  <c r="AK13" i="99" s="1"/>
  <c r="S12" i="109"/>
  <c r="T12" i="109" s="1"/>
  <c r="V12" i="109" s="1"/>
  <c r="AK12" i="109" s="1"/>
  <c r="S14" i="104"/>
  <c r="S13" i="100"/>
  <c r="S22" i="107"/>
  <c r="T22" i="107" s="1"/>
  <c r="V22" i="107" s="1"/>
  <c r="W22" i="107" s="1"/>
  <c r="S21" i="104"/>
  <c r="T21" i="104" s="1"/>
  <c r="V21" i="104" s="1"/>
  <c r="Q22" i="110"/>
  <c r="R22" i="110"/>
  <c r="S30" i="84"/>
  <c r="T30" i="84" s="1"/>
  <c r="V30" i="84" s="1"/>
  <c r="S22" i="99"/>
  <c r="S27" i="99"/>
  <c r="S25" i="84"/>
  <c r="T25" i="84" s="1"/>
  <c r="V25" i="84" s="1"/>
  <c r="S27" i="80"/>
  <c r="S11" i="86"/>
  <c r="S12" i="80"/>
  <c r="S26" i="80"/>
  <c r="T26" i="80" s="1"/>
  <c r="V26" i="80" s="1"/>
  <c r="AK26" i="80" s="1"/>
  <c r="AK23" i="80"/>
  <c r="S41" i="108"/>
  <c r="S17" i="99"/>
  <c r="T17" i="99" s="1"/>
  <c r="V17" i="99" s="1"/>
  <c r="S22" i="101"/>
  <c r="T22" i="101" s="1"/>
  <c r="V22" i="101" s="1"/>
  <c r="S15" i="81"/>
  <c r="T15" i="81" s="1"/>
  <c r="V15" i="81" s="1"/>
  <c r="W15" i="81" s="1"/>
  <c r="R26" i="104"/>
  <c r="Q26" i="104"/>
  <c r="S26" i="104" s="1"/>
  <c r="T26" i="104" s="1"/>
  <c r="V26" i="104" s="1"/>
  <c r="S10" i="102"/>
  <c r="T10" i="102" s="1"/>
  <c r="V10" i="102" s="1"/>
  <c r="AK17" i="101"/>
  <c r="AL17" i="101" s="1"/>
  <c r="AI17" i="101"/>
  <c r="R12" i="107"/>
  <c r="Q12" i="107"/>
  <c r="S14" i="108"/>
  <c r="T14" i="108" s="1"/>
  <c r="V14" i="108" s="1"/>
  <c r="S13" i="85"/>
  <c r="T13" i="85" s="1"/>
  <c r="V13" i="85" s="1"/>
  <c r="Q13" i="108"/>
  <c r="R13" i="108"/>
  <c r="AI33" i="108"/>
  <c r="AK33" i="108"/>
  <c r="AL33" i="108" s="1"/>
  <c r="W33" i="108"/>
  <c r="AK20" i="105"/>
  <c r="O13" i="102"/>
  <c r="P13" i="102" s="1"/>
  <c r="Q18" i="102"/>
  <c r="R18" i="102"/>
  <c r="R66" i="102" s="1"/>
  <c r="P66" i="102"/>
  <c r="W49" i="102"/>
  <c r="Q20" i="104"/>
  <c r="R20" i="104"/>
  <c r="T14" i="110"/>
  <c r="V14" i="110" s="1"/>
  <c r="AK14" i="110" s="1"/>
  <c r="W20" i="109"/>
  <c r="AK20" i="109"/>
  <c r="AN20" i="109" s="1"/>
  <c r="R27" i="102"/>
  <c r="Q27" i="102"/>
  <c r="W27" i="84"/>
  <c r="AK27" i="84"/>
  <c r="AL27" i="84" s="1"/>
  <c r="AI27" i="84"/>
  <c r="Q31" i="102"/>
  <c r="R31" i="102"/>
  <c r="R9" i="110"/>
  <c r="Q9" i="110"/>
  <c r="S9" i="110" s="1"/>
  <c r="R36" i="102"/>
  <c r="Q36" i="102"/>
  <c r="Q15" i="86"/>
  <c r="R15" i="86"/>
  <c r="AK10" i="104"/>
  <c r="AI10" i="104"/>
  <c r="O51" i="84"/>
  <c r="P51" i="84" s="1"/>
  <c r="R23" i="103"/>
  <c r="Q23" i="103"/>
  <c r="R37" i="84"/>
  <c r="Q37" i="84"/>
  <c r="Q15" i="105"/>
  <c r="R15" i="105"/>
  <c r="M65" i="102"/>
  <c r="S9" i="84"/>
  <c r="O10" i="86"/>
  <c r="P10" i="86" s="1"/>
  <c r="R10" i="86" s="1"/>
  <c r="S43" i="102"/>
  <c r="T43" i="102" s="1"/>
  <c r="V43" i="102" s="1"/>
  <c r="T14" i="104"/>
  <c r="V14" i="104" s="1"/>
  <c r="AK14" i="104" s="1"/>
  <c r="AK14" i="109"/>
  <c r="AL14" i="109" s="1"/>
  <c r="T12" i="80"/>
  <c r="V12" i="80" s="1"/>
  <c r="AJ12" i="80" s="1"/>
  <c r="T14" i="103"/>
  <c r="V14" i="103" s="1"/>
  <c r="AI14" i="103" s="1"/>
  <c r="AI23" i="80"/>
  <c r="AK40" i="102"/>
  <c r="AL40" i="102" s="1"/>
  <c r="R11" i="101"/>
  <c r="Q11" i="101"/>
  <c r="S13" i="104"/>
  <c r="T13" i="104" s="1"/>
  <c r="V13" i="104" s="1"/>
  <c r="O15" i="99"/>
  <c r="P15" i="99" s="1"/>
  <c r="Q32" i="84"/>
  <c r="R32" i="84"/>
  <c r="Q29" i="102"/>
  <c r="R29" i="102"/>
  <c r="W26" i="108"/>
  <c r="AI26" i="108"/>
  <c r="AK26" i="108"/>
  <c r="AL26" i="108" s="1"/>
  <c r="R12" i="108"/>
  <c r="Q12" i="108"/>
  <c r="Q10" i="109"/>
  <c r="R10" i="109"/>
  <c r="AI37" i="102"/>
  <c r="AK37" i="102"/>
  <c r="AL37" i="102" s="1"/>
  <c r="W37" i="102"/>
  <c r="R48" i="108"/>
  <c r="Q48" i="108"/>
  <c r="S48" i="108" s="1"/>
  <c r="O10" i="84"/>
  <c r="O52" i="84" s="1"/>
  <c r="R26" i="86"/>
  <c r="Q26" i="86"/>
  <c r="AK16" i="102"/>
  <c r="AI16" i="102"/>
  <c r="O18" i="103"/>
  <c r="P18" i="103" s="1"/>
  <c r="Q17" i="86"/>
  <c r="R17" i="86"/>
  <c r="AI48" i="102"/>
  <c r="AK48" i="102"/>
  <c r="AL48" i="102" s="1"/>
  <c r="W48" i="102"/>
  <c r="T34" i="102"/>
  <c r="V34" i="102" s="1"/>
  <c r="O9" i="109"/>
  <c r="P9" i="109" s="1"/>
  <c r="R10" i="81"/>
  <c r="Q10" i="81"/>
  <c r="S20" i="101"/>
  <c r="T20" i="101" s="1"/>
  <c r="V20" i="101" s="1"/>
  <c r="T22" i="99"/>
  <c r="V22" i="99" s="1"/>
  <c r="AM22" i="99" s="1"/>
  <c r="S39" i="108"/>
  <c r="T39" i="108" s="1"/>
  <c r="V39" i="108" s="1"/>
  <c r="T14" i="84"/>
  <c r="V14" i="84" s="1"/>
  <c r="AK14" i="84" s="1"/>
  <c r="M25" i="109"/>
  <c r="S19" i="84"/>
  <c r="T19" i="84" s="1"/>
  <c r="V19" i="84" s="1"/>
  <c r="W19" i="84" s="1"/>
  <c r="T13" i="86"/>
  <c r="V13" i="86" s="1"/>
  <c r="W13" i="86" s="1"/>
  <c r="AI24" i="103"/>
  <c r="T20" i="100"/>
  <c r="V20" i="100" s="1"/>
  <c r="M64" i="108"/>
  <c r="T27" i="80"/>
  <c r="V27" i="80" s="1"/>
  <c r="AM27" i="80" s="1"/>
  <c r="S15" i="80"/>
  <c r="T15" i="80" s="1"/>
  <c r="V15" i="80" s="1"/>
  <c r="S47" i="102"/>
  <c r="T47" i="102" s="1"/>
  <c r="V47" i="102" s="1"/>
  <c r="AK47" i="102" s="1"/>
  <c r="AL47" i="102" s="1"/>
  <c r="S43" i="84"/>
  <c r="T43" i="84" s="1"/>
  <c r="V43" i="84" s="1"/>
  <c r="AI43" i="84" s="1"/>
  <c r="T11" i="86"/>
  <c r="V11" i="86" s="1"/>
  <c r="AK11" i="86" s="1"/>
  <c r="AL11" i="86" s="1"/>
  <c r="S12" i="84"/>
  <c r="T12" i="84" s="1"/>
  <c r="V12" i="84" s="1"/>
  <c r="S25" i="104"/>
  <c r="S17" i="103"/>
  <c r="T17" i="103" s="1"/>
  <c r="V17" i="103" s="1"/>
  <c r="S23" i="104"/>
  <c r="T23" i="104" s="1"/>
  <c r="V23" i="104" s="1"/>
  <c r="AN19" i="80"/>
  <c r="W23" i="80"/>
  <c r="T41" i="108"/>
  <c r="V41" i="108" s="1"/>
  <c r="W41" i="108" s="1"/>
  <c r="M15" i="101"/>
  <c r="M20" i="108"/>
  <c r="W21" i="110"/>
  <c r="AI21" i="110"/>
  <c r="AK21" i="110"/>
  <c r="AL21" i="110" s="1"/>
  <c r="S31" i="108"/>
  <c r="T31" i="108" s="1"/>
  <c r="V31" i="108" s="1"/>
  <c r="S11" i="105"/>
  <c r="T11" i="105" s="1"/>
  <c r="V11" i="105" s="1"/>
  <c r="T10" i="108"/>
  <c r="V10" i="108" s="1"/>
  <c r="O9" i="102"/>
  <c r="O64" i="102" s="1"/>
  <c r="M64" i="102"/>
  <c r="O25" i="105"/>
  <c r="P25" i="105" s="1"/>
  <c r="S11" i="99"/>
  <c r="T11" i="99" s="1"/>
  <c r="V11" i="99" s="1"/>
  <c r="S39" i="102"/>
  <c r="T39" i="102" s="1"/>
  <c r="V39" i="102" s="1"/>
  <c r="T22" i="85"/>
  <c r="V22" i="85" s="1"/>
  <c r="Q23" i="99"/>
  <c r="R23" i="99"/>
  <c r="R18" i="107"/>
  <c r="Q18" i="107"/>
  <c r="Q45" i="108"/>
  <c r="R45" i="108"/>
  <c r="AN10" i="101"/>
  <c r="AK10" i="101"/>
  <c r="W24" i="99"/>
  <c r="O25" i="80"/>
  <c r="O28" i="80" s="1"/>
  <c r="S13" i="101"/>
  <c r="T13" i="101"/>
  <c r="V13" i="101" s="1"/>
  <c r="Q17" i="81"/>
  <c r="R17" i="81"/>
  <c r="Q9" i="100"/>
  <c r="R9" i="100"/>
  <c r="Q19" i="106"/>
  <c r="R19" i="106"/>
  <c r="R15" i="102"/>
  <c r="Q15" i="102"/>
  <c r="S15" i="102" s="1"/>
  <c r="R9" i="101"/>
  <c r="Q9" i="101"/>
  <c r="R16" i="106"/>
  <c r="Q16" i="106"/>
  <c r="AI13" i="99"/>
  <c r="S18" i="84"/>
  <c r="S44" i="108"/>
  <c r="T44" i="108" s="1"/>
  <c r="V44" i="108" s="1"/>
  <c r="S27" i="86"/>
  <c r="T27" i="86" s="1"/>
  <c r="V27" i="86" s="1"/>
  <c r="AK27" i="86" s="1"/>
  <c r="AL27" i="86" s="1"/>
  <c r="S17" i="85"/>
  <c r="T16" i="103"/>
  <c r="V16" i="103" s="1"/>
  <c r="W16" i="103" s="1"/>
  <c r="T18" i="100"/>
  <c r="V18" i="100" s="1"/>
  <c r="AK18" i="100" s="1"/>
  <c r="AL18" i="100" s="1"/>
  <c r="T23" i="102"/>
  <c r="V23" i="102" s="1"/>
  <c r="AI23" i="102" s="1"/>
  <c r="S22" i="86"/>
  <c r="L52" i="84"/>
  <c r="L52" i="102"/>
  <c r="O28" i="104"/>
  <c r="S50" i="84"/>
  <c r="T50" i="84" s="1"/>
  <c r="V50" i="84" s="1"/>
  <c r="AK50" i="84" s="1"/>
  <c r="AL50" i="84" s="1"/>
  <c r="T11" i="80"/>
  <c r="V11" i="80" s="1"/>
  <c r="W11" i="80" s="1"/>
  <c r="T12" i="99"/>
  <c r="V12" i="99" s="1"/>
  <c r="W12" i="99" s="1"/>
  <c r="S22" i="84"/>
  <c r="S21" i="84"/>
  <c r="T21" i="84" s="1"/>
  <c r="V21" i="84" s="1"/>
  <c r="S20" i="85"/>
  <c r="S14" i="101"/>
  <c r="T14" i="101" s="1"/>
  <c r="V14" i="101" s="1"/>
  <c r="W14" i="101" s="1"/>
  <c r="S21" i="80"/>
  <c r="T21" i="80" s="1"/>
  <c r="V21" i="80" s="1"/>
  <c r="W21" i="80" s="1"/>
  <c r="S23" i="84"/>
  <c r="T23" i="84" s="1"/>
  <c r="V23" i="84" s="1"/>
  <c r="W23" i="84" s="1"/>
  <c r="S21" i="103"/>
  <c r="T21" i="103" s="1"/>
  <c r="V21" i="103" s="1"/>
  <c r="W11" i="104"/>
  <c r="AK11" i="104"/>
  <c r="AL11" i="104" s="1"/>
  <c r="AI11" i="104"/>
  <c r="S16" i="104"/>
  <c r="T16" i="104" s="1"/>
  <c r="V16" i="104" s="1"/>
  <c r="S51" i="102"/>
  <c r="T51" i="102" s="1"/>
  <c r="V51" i="102" s="1"/>
  <c r="L65" i="102"/>
  <c r="L67" i="102" s="1"/>
  <c r="K52" i="84"/>
  <c r="K64" i="84"/>
  <c r="K67" i="84" s="1"/>
  <c r="M9" i="103"/>
  <c r="K25" i="103"/>
  <c r="S23" i="105"/>
  <c r="T23" i="105" s="1"/>
  <c r="V23" i="105" s="1"/>
  <c r="S17" i="107"/>
  <c r="T17" i="107" s="1"/>
  <c r="V17" i="107" s="1"/>
  <c r="S22" i="108"/>
  <c r="T22" i="108" s="1"/>
  <c r="V22" i="108" s="1"/>
  <c r="T14" i="80"/>
  <c r="V14" i="80" s="1"/>
  <c r="S26" i="102"/>
  <c r="T26" i="102" s="1"/>
  <c r="V26" i="102" s="1"/>
  <c r="AI26" i="102" s="1"/>
  <c r="S46" i="108"/>
  <c r="T46" i="108" s="1"/>
  <c r="V46" i="108" s="1"/>
  <c r="Q21" i="86"/>
  <c r="R21" i="86"/>
  <c r="Q19" i="109"/>
  <c r="R19" i="109"/>
  <c r="K13" i="111"/>
  <c r="Q13" i="111" s="1"/>
  <c r="K13" i="42"/>
  <c r="N13" i="42" s="1"/>
  <c r="R10" i="85"/>
  <c r="Q10" i="85"/>
  <c r="Q16" i="108"/>
  <c r="R16" i="108"/>
  <c r="AI27" i="86"/>
  <c r="Q17" i="100"/>
  <c r="R17" i="100"/>
  <c r="R15" i="108"/>
  <c r="Q15" i="108"/>
  <c r="R19" i="105"/>
  <c r="Q19" i="105"/>
  <c r="R19" i="81"/>
  <c r="Q19" i="81"/>
  <c r="S19" i="81" s="1"/>
  <c r="AK20" i="80"/>
  <c r="AM20" i="80"/>
  <c r="W20" i="80"/>
  <c r="AJ20" i="80"/>
  <c r="AI20" i="80"/>
  <c r="Q13" i="81"/>
  <c r="R13" i="81"/>
  <c r="Q32" i="108"/>
  <c r="R32" i="108"/>
  <c r="W50" i="84"/>
  <c r="AI50" i="84"/>
  <c r="AM11" i="80"/>
  <c r="AI12" i="99"/>
  <c r="Q27" i="108"/>
  <c r="R27" i="108"/>
  <c r="Q17" i="84"/>
  <c r="S17" i="84" s="1"/>
  <c r="R17" i="84"/>
  <c r="AK22" i="104"/>
  <c r="AL22" i="104" s="1"/>
  <c r="W22" i="104"/>
  <c r="AI22" i="104"/>
  <c r="R35" i="84"/>
  <c r="Q35" i="84"/>
  <c r="Q23" i="108"/>
  <c r="R23" i="108"/>
  <c r="AJ26" i="80"/>
  <c r="Q17" i="109"/>
  <c r="R17" i="109"/>
  <c r="AI23" i="84"/>
  <c r="AK37" i="108"/>
  <c r="AL37" i="108" s="1"/>
  <c r="W37" i="108"/>
  <c r="AI37" i="108"/>
  <c r="R12" i="81"/>
  <c r="Q12" i="81"/>
  <c r="R14" i="106"/>
  <c r="Q14" i="106"/>
  <c r="AK24" i="85"/>
  <c r="AI24" i="85"/>
  <c r="W24" i="85"/>
  <c r="V9" i="107"/>
  <c r="Q21" i="105"/>
  <c r="R21" i="105"/>
  <c r="AK40" i="84"/>
  <c r="AL40" i="84" s="1"/>
  <c r="W40" i="84"/>
  <c r="AI40" i="84"/>
  <c r="AI28" i="102"/>
  <c r="AK28" i="102"/>
  <c r="W26" i="84"/>
  <c r="AI26" i="84"/>
  <c r="AK26" i="84"/>
  <c r="AL26" i="84" s="1"/>
  <c r="AK13" i="107"/>
  <c r="AL13" i="107" s="1"/>
  <c r="W13" i="107"/>
  <c r="AI13" i="107"/>
  <c r="AI30" i="102"/>
  <c r="Q9" i="81"/>
  <c r="R9" i="81"/>
  <c r="P21" i="81"/>
  <c r="Q23" i="110"/>
  <c r="R23" i="110"/>
  <c r="Q17" i="105"/>
  <c r="R17" i="105"/>
  <c r="Q44" i="102"/>
  <c r="R44" i="102"/>
  <c r="AK22" i="99"/>
  <c r="Q21" i="101"/>
  <c r="R21" i="101"/>
  <c r="Q11" i="100"/>
  <c r="R11" i="100"/>
  <c r="R14" i="81"/>
  <c r="Q14" i="81"/>
  <c r="R18" i="81"/>
  <c r="Q18" i="81"/>
  <c r="Q21" i="107"/>
  <c r="R21" i="107"/>
  <c r="R10" i="106"/>
  <c r="Q10" i="106"/>
  <c r="S10" i="106" s="1"/>
  <c r="W23" i="86"/>
  <c r="AI23" i="86"/>
  <c r="AK23" i="86"/>
  <c r="AL23" i="86" s="1"/>
  <c r="AI20" i="107"/>
  <c r="AK20" i="107"/>
  <c r="AL20" i="107" s="1"/>
  <c r="W20" i="107"/>
  <c r="AK20" i="100"/>
  <c r="AL20" i="100" s="1"/>
  <c r="W20" i="100"/>
  <c r="AI20" i="100"/>
  <c r="AJ27" i="80"/>
  <c r="Q12" i="103"/>
  <c r="R12" i="103"/>
  <c r="AI47" i="102"/>
  <c r="W47" i="102"/>
  <c r="Q13" i="110"/>
  <c r="R13" i="110"/>
  <c r="AK41" i="108"/>
  <c r="AL41" i="108" s="1"/>
  <c r="Q11" i="81"/>
  <c r="R11" i="81"/>
  <c r="AJ17" i="80"/>
  <c r="AI14" i="104"/>
  <c r="Q11" i="109"/>
  <c r="R11" i="109"/>
  <c r="Q28" i="108"/>
  <c r="R28" i="108"/>
  <c r="W49" i="84"/>
  <c r="AK49" i="84"/>
  <c r="AL49" i="84" s="1"/>
  <c r="AI49" i="84"/>
  <c r="R25" i="108"/>
  <c r="Q25" i="108"/>
  <c r="AK16" i="100"/>
  <c r="AL16" i="100" s="1"/>
  <c r="W16" i="100"/>
  <c r="AI16" i="100"/>
  <c r="R33" i="102"/>
  <c r="Q33" i="102"/>
  <c r="AJ25" i="99"/>
  <c r="AI25" i="99"/>
  <c r="R19" i="102"/>
  <c r="Q19" i="102"/>
  <c r="AI41" i="84"/>
  <c r="W41" i="84"/>
  <c r="AK41" i="84"/>
  <c r="AL41" i="84" s="1"/>
  <c r="AI12" i="104"/>
  <c r="AK12" i="104"/>
  <c r="AL12" i="104" s="1"/>
  <c r="W12" i="104"/>
  <c r="W12" i="109"/>
  <c r="AI12" i="109"/>
  <c r="R14" i="86"/>
  <c r="Q14" i="86"/>
  <c r="AI14" i="108"/>
  <c r="AK14" i="108"/>
  <c r="Q17" i="104"/>
  <c r="R17" i="104"/>
  <c r="O11" i="107"/>
  <c r="P11" i="107" s="1"/>
  <c r="K12" i="111"/>
  <c r="Q12" i="111" s="1"/>
  <c r="W12" i="111" s="1"/>
  <c r="K11" i="42"/>
  <c r="N11" i="42" s="1"/>
  <c r="O25" i="102"/>
  <c r="P25" i="102" s="1"/>
  <c r="K10" i="111"/>
  <c r="K10" i="42"/>
  <c r="AK20" i="103"/>
  <c r="W20" i="103"/>
  <c r="AK14" i="105"/>
  <c r="W14" i="105"/>
  <c r="AI14" i="105"/>
  <c r="AM14" i="105"/>
  <c r="AJ14" i="105"/>
  <c r="Q12" i="102"/>
  <c r="R12" i="102"/>
  <c r="S12" i="102" s="1"/>
  <c r="O19" i="103"/>
  <c r="AK15" i="106"/>
  <c r="AL15" i="106" s="1"/>
  <c r="W15" i="106"/>
  <c r="AI15" i="106"/>
  <c r="AK34" i="108"/>
  <c r="AI34" i="108"/>
  <c r="W17" i="102"/>
  <c r="AK17" i="102"/>
  <c r="AL17" i="102" s="1"/>
  <c r="AM17" i="102" s="1"/>
  <c r="AI17" i="102"/>
  <c r="Q15" i="85"/>
  <c r="R15" i="85"/>
  <c r="T18" i="84"/>
  <c r="V18" i="84" s="1"/>
  <c r="T27" i="99"/>
  <c r="V27" i="99" s="1"/>
  <c r="T14" i="102"/>
  <c r="P19" i="101"/>
  <c r="S38" i="102"/>
  <c r="T38" i="102" s="1"/>
  <c r="V38" i="102" s="1"/>
  <c r="S20" i="86"/>
  <c r="T20" i="86" s="1"/>
  <c r="V20" i="86" s="1"/>
  <c r="T17" i="85"/>
  <c r="V17" i="85" s="1"/>
  <c r="AN10" i="80"/>
  <c r="W10" i="80" s="1"/>
  <c r="S15" i="84"/>
  <c r="T15" i="84" s="1"/>
  <c r="V15" i="84" s="1"/>
  <c r="M9" i="85"/>
  <c r="S25" i="86"/>
  <c r="T25" i="86" s="1"/>
  <c r="V25" i="86" s="1"/>
  <c r="W25" i="86" s="1"/>
  <c r="S16" i="109"/>
  <c r="T16" i="109" s="1"/>
  <c r="V16" i="109" s="1"/>
  <c r="S18" i="99"/>
  <c r="T18" i="99" s="1"/>
  <c r="V18" i="99" s="1"/>
  <c r="S16" i="110"/>
  <c r="T16" i="110" s="1"/>
  <c r="V16" i="110" s="1"/>
  <c r="S48" i="84"/>
  <c r="T48" i="84" s="1"/>
  <c r="V48" i="84" s="1"/>
  <c r="O65" i="84"/>
  <c r="S24" i="102"/>
  <c r="T24" i="102" s="1"/>
  <c r="V24" i="102" s="1"/>
  <c r="T13" i="100"/>
  <c r="V13" i="100" s="1"/>
  <c r="AN21" i="99"/>
  <c r="M23" i="107"/>
  <c r="M52" i="102"/>
  <c r="P14" i="99"/>
  <c r="P18" i="104"/>
  <c r="P28" i="104" s="1"/>
  <c r="T16" i="84"/>
  <c r="V16" i="84" s="1"/>
  <c r="S28" i="84"/>
  <c r="T28" i="84" s="1"/>
  <c r="V28" i="84" s="1"/>
  <c r="T15" i="103"/>
  <c r="V15" i="103" s="1"/>
  <c r="S22" i="103"/>
  <c r="T22" i="103" s="1"/>
  <c r="V22" i="103" s="1"/>
  <c r="S24" i="84"/>
  <c r="T24" i="84" s="1"/>
  <c r="V24" i="84" s="1"/>
  <c r="AJ16" i="105"/>
  <c r="W16" i="105"/>
  <c r="AK16" i="105"/>
  <c r="AM16" i="105"/>
  <c r="AI16" i="105"/>
  <c r="Q15" i="107"/>
  <c r="R15" i="107"/>
  <c r="AK43" i="108"/>
  <c r="AI43" i="108"/>
  <c r="Q20" i="84"/>
  <c r="R20" i="84"/>
  <c r="AI13" i="103"/>
  <c r="Q20" i="106"/>
  <c r="R20" i="106"/>
  <c r="O14" i="85"/>
  <c r="P14" i="85"/>
  <c r="Q9" i="86"/>
  <c r="R9" i="86"/>
  <c r="Q9" i="108"/>
  <c r="R9" i="108"/>
  <c r="P64" i="108"/>
  <c r="R11" i="85"/>
  <c r="Q11" i="85"/>
  <c r="R14" i="107"/>
  <c r="Q14" i="107"/>
  <c r="R23" i="85"/>
  <c r="Q23" i="85"/>
  <c r="AP15" i="109"/>
  <c r="AL15" i="109"/>
  <c r="AN15" i="109"/>
  <c r="AP20" i="109"/>
  <c r="AI14" i="110"/>
  <c r="R47" i="108"/>
  <c r="Q47" i="108"/>
  <c r="AN23" i="80"/>
  <c r="Q24" i="86"/>
  <c r="R24" i="86"/>
  <c r="AI21" i="108"/>
  <c r="AK21" i="108"/>
  <c r="AI41" i="102"/>
  <c r="W41" i="102"/>
  <c r="AK41" i="102"/>
  <c r="AL41" i="102" s="1"/>
  <c r="Q16" i="86"/>
  <c r="R16" i="86"/>
  <c r="AK14" i="100"/>
  <c r="AL14" i="100" s="1"/>
  <c r="W14" i="100"/>
  <c r="AI14" i="100"/>
  <c r="W26" i="102"/>
  <c r="AK26" i="102"/>
  <c r="AL26" i="102" s="1"/>
  <c r="V10" i="110"/>
  <c r="V10" i="105"/>
  <c r="Q15" i="104"/>
  <c r="R15" i="104"/>
  <c r="Q21" i="109"/>
  <c r="R21" i="109"/>
  <c r="R13" i="106"/>
  <c r="Q13" i="106"/>
  <c r="AI15" i="81"/>
  <c r="O20" i="110"/>
  <c r="P20" i="110" s="1"/>
  <c r="R13" i="84"/>
  <c r="P65" i="84"/>
  <c r="Q13" i="84"/>
  <c r="AN24" i="103"/>
  <c r="AP24" i="103"/>
  <c r="AL24" i="103"/>
  <c r="O64" i="108"/>
  <c r="Q10" i="107"/>
  <c r="R10" i="107"/>
  <c r="O19" i="86"/>
  <c r="P19" i="86" s="1"/>
  <c r="AK45" i="102"/>
  <c r="AL45" i="102" s="1"/>
  <c r="AI45" i="102"/>
  <c r="W45" i="102"/>
  <c r="Q24" i="80"/>
  <c r="R24" i="80"/>
  <c r="Q12" i="85"/>
  <c r="R12" i="85"/>
  <c r="O11" i="108"/>
  <c r="O66" i="108" s="1"/>
  <c r="M66" i="108"/>
  <c r="Q19" i="104"/>
  <c r="R19" i="104"/>
  <c r="W22" i="80"/>
  <c r="Q19" i="85"/>
  <c r="R19" i="85"/>
  <c r="S19" i="85"/>
  <c r="Q24" i="108"/>
  <c r="R24" i="108"/>
  <c r="Q35" i="102"/>
  <c r="R35" i="102"/>
  <c r="R18" i="85"/>
  <c r="Q18" i="85"/>
  <c r="S18" i="85" s="1"/>
  <c r="Q11" i="110"/>
  <c r="R11" i="110"/>
  <c r="T9" i="80"/>
  <c r="T50" i="108"/>
  <c r="V50" i="108" s="1"/>
  <c r="S10" i="103"/>
  <c r="O25" i="109"/>
  <c r="P12" i="105"/>
  <c r="T22" i="86"/>
  <c r="V22" i="86" s="1"/>
  <c r="S11" i="102"/>
  <c r="T11" i="102" s="1"/>
  <c r="S20" i="102"/>
  <c r="T20" i="102" s="1"/>
  <c r="V20" i="102" s="1"/>
  <c r="S10" i="99"/>
  <c r="T10" i="99" s="1"/>
  <c r="T22" i="84"/>
  <c r="V22" i="84" s="1"/>
  <c r="S13" i="80"/>
  <c r="T25" i="104"/>
  <c r="V25" i="104" s="1"/>
  <c r="W25" i="104" s="1"/>
  <c r="T26" i="99"/>
  <c r="V26" i="99" s="1"/>
  <c r="S46" i="84"/>
  <c r="T46" i="84" s="1"/>
  <c r="V46" i="84" s="1"/>
  <c r="T20" i="85"/>
  <c r="V20" i="85" s="1"/>
  <c r="AI9" i="104"/>
  <c r="AK9" i="104"/>
  <c r="O22" i="102"/>
  <c r="AK23" i="102"/>
  <c r="AL23" i="102" s="1"/>
  <c r="R18" i="80"/>
  <c r="Q18" i="80"/>
  <c r="W23" i="109"/>
  <c r="AK23" i="109"/>
  <c r="R32" i="102"/>
  <c r="Q32" i="102"/>
  <c r="AK29" i="84"/>
  <c r="AI29" i="84"/>
  <c r="AI19" i="100"/>
  <c r="AK19" i="100"/>
  <c r="AL19" i="100" s="1"/>
  <c r="W19" i="100"/>
  <c r="Q16" i="81"/>
  <c r="S16" i="81" s="1"/>
  <c r="R16" i="81"/>
  <c r="AK16" i="101"/>
  <c r="AL16" i="101" s="1"/>
  <c r="W16" i="101"/>
  <c r="AI16" i="101"/>
  <c r="AK17" i="106"/>
  <c r="AL17" i="106" s="1"/>
  <c r="W17" i="106"/>
  <c r="AI17" i="106"/>
  <c r="R20" i="81"/>
  <c r="Q20" i="81"/>
  <c r="S20" i="81" s="1"/>
  <c r="T20" i="81" s="1"/>
  <c r="V20" i="81" s="1"/>
  <c r="W33" i="84"/>
  <c r="AI33" i="84"/>
  <c r="AK33" i="84"/>
  <c r="AL33" i="84" s="1"/>
  <c r="W24" i="109"/>
  <c r="AK24" i="109"/>
  <c r="AI24" i="109"/>
  <c r="AK46" i="102"/>
  <c r="AL46" i="102" s="1"/>
  <c r="W46" i="102"/>
  <c r="AI46" i="102"/>
  <c r="O19" i="107"/>
  <c r="P19" i="107" s="1"/>
  <c r="O13" i="105"/>
  <c r="Q30" i="108"/>
  <c r="S30" i="108" s="1"/>
  <c r="R30" i="108"/>
  <c r="W18" i="86"/>
  <c r="AK18" i="86"/>
  <c r="AL18" i="86" s="1"/>
  <c r="AI18" i="86"/>
  <c r="W13" i="109"/>
  <c r="AI13" i="109"/>
  <c r="AK13" i="109"/>
  <c r="O10" i="100"/>
  <c r="O21" i="100" s="1"/>
  <c r="M21" i="100"/>
  <c r="W24" i="105"/>
  <c r="AM24" i="105"/>
  <c r="AK24" i="105"/>
  <c r="AJ24" i="105"/>
  <c r="AI24" i="105"/>
  <c r="AK36" i="108"/>
  <c r="AL36" i="108" s="1"/>
  <c r="AI36" i="108"/>
  <c r="W36" i="108"/>
  <c r="O11" i="106"/>
  <c r="O21" i="106" s="1"/>
  <c r="Q31" i="84"/>
  <c r="R31" i="84"/>
  <c r="W26" i="110"/>
  <c r="AI26" i="110"/>
  <c r="AK26" i="110"/>
  <c r="AL26" i="110" s="1"/>
  <c r="Q18" i="108"/>
  <c r="R18" i="108"/>
  <c r="AK29" i="108"/>
  <c r="AI29" i="108"/>
  <c r="Q36" i="84"/>
  <c r="R36" i="84"/>
  <c r="AI34" i="84"/>
  <c r="AK34" i="84"/>
  <c r="AN18" i="105"/>
  <c r="L67" i="108"/>
  <c r="O23" i="107"/>
  <c r="O21" i="81"/>
  <c r="K67" i="108"/>
  <c r="AM16" i="80" l="1"/>
  <c r="W16" i="80"/>
  <c r="AK16" i="80"/>
  <c r="AI9" i="99"/>
  <c r="AK9" i="99"/>
  <c r="AJ9" i="99"/>
  <c r="AK12" i="106"/>
  <c r="AL12" i="106" s="1"/>
  <c r="O28" i="105"/>
  <c r="AK22" i="109"/>
  <c r="AK17" i="80"/>
  <c r="AI13" i="86"/>
  <c r="AK19" i="110"/>
  <c r="AL19" i="110" s="1"/>
  <c r="S14" i="107"/>
  <c r="AN14" i="109"/>
  <c r="AQ14" i="109" s="1"/>
  <c r="AM12" i="80"/>
  <c r="AI22" i="109"/>
  <c r="W17" i="80"/>
  <c r="W27" i="80"/>
  <c r="AK13" i="86"/>
  <c r="AL13" i="86" s="1"/>
  <c r="AI14" i="84"/>
  <c r="AK23" i="84"/>
  <c r="AL23" i="84" s="1"/>
  <c r="AM26" i="80"/>
  <c r="AK16" i="103"/>
  <c r="AL16" i="103" s="1"/>
  <c r="AJ13" i="99"/>
  <c r="AM24" i="99"/>
  <c r="AI19" i="110"/>
  <c r="AK49" i="102"/>
  <c r="AL49" i="102" s="1"/>
  <c r="S23" i="85"/>
  <c r="T23" i="85" s="1"/>
  <c r="V23" i="85" s="1"/>
  <c r="AM17" i="80"/>
  <c r="AI27" i="80"/>
  <c r="AK30" i="102"/>
  <c r="AL30" i="102" s="1"/>
  <c r="AM30" i="102" s="1"/>
  <c r="W26" i="80"/>
  <c r="AJ24" i="99"/>
  <c r="M52" i="84"/>
  <c r="AI12" i="106"/>
  <c r="P66" i="84"/>
  <c r="AJ22" i="80"/>
  <c r="W15" i="100"/>
  <c r="AM25" i="99"/>
  <c r="AI12" i="80"/>
  <c r="S25" i="108"/>
  <c r="AK43" i="84"/>
  <c r="AP43" i="84" s="1"/>
  <c r="AK22" i="107"/>
  <c r="AL22" i="107" s="1"/>
  <c r="AI26" i="80"/>
  <c r="W18" i="100"/>
  <c r="AM13" i="99"/>
  <c r="S9" i="101"/>
  <c r="T9" i="101" s="1"/>
  <c r="V9" i="101" s="1"/>
  <c r="AI9" i="101" s="1"/>
  <c r="AK24" i="99"/>
  <c r="AN24" i="99" s="1"/>
  <c r="S27" i="105"/>
  <c r="AI30" i="84"/>
  <c r="W30" i="84"/>
  <c r="AI39" i="84"/>
  <c r="AK39" i="84"/>
  <c r="AL39" i="84" s="1"/>
  <c r="W39" i="84"/>
  <c r="W40" i="108"/>
  <c r="AI40" i="108"/>
  <c r="AK40" i="108"/>
  <c r="AL40" i="108" s="1"/>
  <c r="R19" i="108"/>
  <c r="Q19" i="108"/>
  <c r="S19" i="108"/>
  <c r="O28" i="110"/>
  <c r="S15" i="86"/>
  <c r="S31" i="102"/>
  <c r="T31" i="102" s="1"/>
  <c r="V31" i="102" s="1"/>
  <c r="S18" i="102"/>
  <c r="T18" i="102" s="1"/>
  <c r="V18" i="102" s="1"/>
  <c r="W20" i="105"/>
  <c r="S13" i="108"/>
  <c r="T13" i="108" s="1"/>
  <c r="V13" i="108" s="1"/>
  <c r="AK13" i="108" s="1"/>
  <c r="AL13" i="108" s="1"/>
  <c r="AM9" i="99"/>
  <c r="AN9" i="99" s="1"/>
  <c r="W9" i="99" s="1"/>
  <c r="AM20" i="105"/>
  <c r="AN20" i="105" s="1"/>
  <c r="AI20" i="105"/>
  <c r="W20" i="99"/>
  <c r="S26" i="105"/>
  <c r="T26" i="105" s="1"/>
  <c r="V26" i="105" s="1"/>
  <c r="AI26" i="105" s="1"/>
  <c r="R9" i="106"/>
  <c r="Q9" i="106"/>
  <c r="T22" i="105"/>
  <c r="V22" i="105" s="1"/>
  <c r="AK22" i="105" s="1"/>
  <c r="AK12" i="100"/>
  <c r="AL12" i="100" s="1"/>
  <c r="AI12" i="100"/>
  <c r="W12" i="100"/>
  <c r="Q10" i="86"/>
  <c r="S10" i="86" s="1"/>
  <c r="T10" i="86" s="1"/>
  <c r="V10" i="86" s="1"/>
  <c r="AJ16" i="80"/>
  <c r="AK18" i="109"/>
  <c r="S9" i="86"/>
  <c r="AK15" i="100"/>
  <c r="AL15" i="100" s="1"/>
  <c r="AK14" i="103"/>
  <c r="AK47" i="84"/>
  <c r="AL47" i="84" s="1"/>
  <c r="AN26" i="80"/>
  <c r="S27" i="108"/>
  <c r="T27" i="108" s="1"/>
  <c r="V27" i="108" s="1"/>
  <c r="W27" i="108" s="1"/>
  <c r="AI18" i="100"/>
  <c r="S17" i="81"/>
  <c r="T17" i="81" s="1"/>
  <c r="V17" i="81" s="1"/>
  <c r="S15" i="110"/>
  <c r="T15" i="110" s="1"/>
  <c r="V15" i="110" s="1"/>
  <c r="T27" i="105"/>
  <c r="V27" i="105" s="1"/>
  <c r="AK27" i="104"/>
  <c r="AL27" i="104" s="1"/>
  <c r="W27" i="104"/>
  <c r="AI27" i="104"/>
  <c r="Q66" i="102"/>
  <c r="P11" i="106"/>
  <c r="Q11" i="106" s="1"/>
  <c r="R11" i="84"/>
  <c r="R66" i="84" s="1"/>
  <c r="AI16" i="80"/>
  <c r="AM22" i="80"/>
  <c r="AK15" i="81"/>
  <c r="AL15" i="81" s="1"/>
  <c r="S24" i="86"/>
  <c r="T24" i="86" s="1"/>
  <c r="V24" i="86" s="1"/>
  <c r="W24" i="86" s="1"/>
  <c r="W13" i="103"/>
  <c r="S17" i="104"/>
  <c r="AK25" i="99"/>
  <c r="W14" i="103"/>
  <c r="W12" i="80"/>
  <c r="W47" i="84"/>
  <c r="AI21" i="85"/>
  <c r="AK27" i="80"/>
  <c r="AN27" i="80" s="1"/>
  <c r="AI22" i="107"/>
  <c r="AI21" i="80"/>
  <c r="AM12" i="99"/>
  <c r="S32" i="108"/>
  <c r="T32" i="108" s="1"/>
  <c r="V32" i="108" s="1"/>
  <c r="AK32" i="108" s="1"/>
  <c r="AI22" i="80"/>
  <c r="AP14" i="109"/>
  <c r="S11" i="81"/>
  <c r="T11" i="81" s="1"/>
  <c r="V11" i="81" s="1"/>
  <c r="AI19" i="84"/>
  <c r="S9" i="81"/>
  <c r="T9" i="81" s="1"/>
  <c r="AJ12" i="99"/>
  <c r="S17" i="100"/>
  <c r="T17" i="100" s="1"/>
  <c r="V17" i="100" s="1"/>
  <c r="W17" i="100" s="1"/>
  <c r="S9" i="100"/>
  <c r="T9" i="100" s="1"/>
  <c r="V9" i="100" s="1"/>
  <c r="AN9" i="100" s="1"/>
  <c r="S20" i="104"/>
  <c r="T20" i="104" s="1"/>
  <c r="V20" i="104" s="1"/>
  <c r="AK20" i="104" s="1"/>
  <c r="AL20" i="104" s="1"/>
  <c r="AI20" i="99"/>
  <c r="T27" i="110"/>
  <c r="V27" i="110" s="1"/>
  <c r="S22" i="105"/>
  <c r="AI22" i="108"/>
  <c r="AK22" i="108"/>
  <c r="AL22" i="108" s="1"/>
  <c r="AM17" i="99"/>
  <c r="AI17" i="99"/>
  <c r="W17" i="99"/>
  <c r="AK17" i="99"/>
  <c r="AJ17" i="99"/>
  <c r="AP10" i="102"/>
  <c r="AN10" i="102"/>
  <c r="AK10" i="102"/>
  <c r="AL10" i="102" s="1"/>
  <c r="AM10" i="102" s="1"/>
  <c r="AI10" i="102"/>
  <c r="AK26" i="105"/>
  <c r="W26" i="105"/>
  <c r="S12" i="108"/>
  <c r="S37" i="84"/>
  <c r="S27" i="102"/>
  <c r="S12" i="107"/>
  <c r="T12" i="107" s="1"/>
  <c r="V12" i="107" s="1"/>
  <c r="O52" i="102"/>
  <c r="S24" i="80"/>
  <c r="S15" i="107"/>
  <c r="T15" i="107" s="1"/>
  <c r="V15" i="107" s="1"/>
  <c r="AI15" i="107" s="1"/>
  <c r="S28" i="108"/>
  <c r="T28" i="108" s="1"/>
  <c r="V28" i="108" s="1"/>
  <c r="AK28" i="108" s="1"/>
  <c r="S17" i="109"/>
  <c r="T17" i="109" s="1"/>
  <c r="V17" i="109" s="1"/>
  <c r="W17" i="109" s="1"/>
  <c r="S13" i="81"/>
  <c r="T13" i="81" s="1"/>
  <c r="V13" i="81" s="1"/>
  <c r="W26" i="104"/>
  <c r="AI26" i="104"/>
  <c r="AK26" i="104"/>
  <c r="AL26" i="104" s="1"/>
  <c r="AN24" i="105"/>
  <c r="S24" i="108"/>
  <c r="AN22" i="80"/>
  <c r="S21" i="109"/>
  <c r="T21" i="109" s="1"/>
  <c r="V21" i="109" s="1"/>
  <c r="S20" i="106"/>
  <c r="T20" i="106" s="1"/>
  <c r="V20" i="106" s="1"/>
  <c r="S21" i="105"/>
  <c r="AK14" i="101"/>
  <c r="AL14" i="101" s="1"/>
  <c r="S23" i="108"/>
  <c r="T23" i="108" s="1"/>
  <c r="V23" i="108" s="1"/>
  <c r="AK12" i="99"/>
  <c r="W27" i="86"/>
  <c r="S19" i="106"/>
  <c r="S18" i="107"/>
  <c r="T18" i="107" s="1"/>
  <c r="V18" i="107" s="1"/>
  <c r="AK18" i="107" s="1"/>
  <c r="AL18" i="107" s="1"/>
  <c r="P9" i="102"/>
  <c r="P64" i="102" s="1"/>
  <c r="O28" i="99"/>
  <c r="S26" i="86"/>
  <c r="T26" i="86" s="1"/>
  <c r="V26" i="86" s="1"/>
  <c r="S10" i="109"/>
  <c r="T10" i="109" s="1"/>
  <c r="V10" i="109" s="1"/>
  <c r="AI10" i="109" s="1"/>
  <c r="T9" i="110"/>
  <c r="V9" i="110" s="1"/>
  <c r="AK20" i="99"/>
  <c r="AN20" i="99" s="1"/>
  <c r="AJ20" i="99"/>
  <c r="W13" i="85"/>
  <c r="AI13" i="85"/>
  <c r="AK13" i="85"/>
  <c r="S22" i="110"/>
  <c r="T22" i="110"/>
  <c r="V22" i="110" s="1"/>
  <c r="T30" i="108"/>
  <c r="V30" i="108" s="1"/>
  <c r="S16" i="86"/>
  <c r="S14" i="86"/>
  <c r="T14" i="86" s="1"/>
  <c r="V14" i="86" s="1"/>
  <c r="S18" i="81"/>
  <c r="T18" i="81" s="1"/>
  <c r="V18" i="81" s="1"/>
  <c r="S35" i="84"/>
  <c r="T35" i="84" s="1"/>
  <c r="V35" i="84" s="1"/>
  <c r="S19" i="105"/>
  <c r="S16" i="106"/>
  <c r="T16" i="106" s="1"/>
  <c r="V16" i="106" s="1"/>
  <c r="AK16" i="106" s="1"/>
  <c r="AL16" i="106" s="1"/>
  <c r="T19" i="106"/>
  <c r="V19" i="106" s="1"/>
  <c r="AI19" i="106" s="1"/>
  <c r="S11" i="101"/>
  <c r="AK17" i="108"/>
  <c r="AL17" i="108" s="1"/>
  <c r="AM17" i="108" s="1"/>
  <c r="W17" i="108"/>
  <c r="AI17" i="108"/>
  <c r="AI21" i="103"/>
  <c r="AK21" i="103"/>
  <c r="AL21" i="103" s="1"/>
  <c r="W21" i="103"/>
  <c r="AN9" i="101"/>
  <c r="AK9" i="101"/>
  <c r="AP9" i="101" s="1"/>
  <c r="AK11" i="105"/>
  <c r="W11" i="105"/>
  <c r="AJ11" i="105"/>
  <c r="AI11" i="105"/>
  <c r="AM11" i="105"/>
  <c r="Q15" i="99"/>
  <c r="R15" i="99"/>
  <c r="AI20" i="104"/>
  <c r="AI13" i="108"/>
  <c r="W13" i="108"/>
  <c r="AK44" i="108"/>
  <c r="AL44" i="108" s="1"/>
  <c r="AI44" i="108"/>
  <c r="W44" i="108"/>
  <c r="AK20" i="101"/>
  <c r="AL20" i="101" s="1"/>
  <c r="W20" i="101"/>
  <c r="AI20" i="101"/>
  <c r="R18" i="103"/>
  <c r="S18" i="103"/>
  <c r="T18" i="103" s="1"/>
  <c r="V18" i="103" s="1"/>
  <c r="Q18" i="103"/>
  <c r="AI13" i="104"/>
  <c r="AK13" i="104"/>
  <c r="AL13" i="104" s="1"/>
  <c r="W13" i="104"/>
  <c r="AK43" i="102"/>
  <c r="AP43" i="102" s="1"/>
  <c r="AI43" i="102"/>
  <c r="AI39" i="102"/>
  <c r="W39" i="102"/>
  <c r="AK39" i="102"/>
  <c r="AL39" i="102" s="1"/>
  <c r="AK17" i="103"/>
  <c r="AP17" i="103" s="1"/>
  <c r="W17" i="103"/>
  <c r="AI17" i="103"/>
  <c r="W23" i="105"/>
  <c r="AK23" i="105"/>
  <c r="AI23" i="105"/>
  <c r="AM23" i="105"/>
  <c r="AJ23" i="105"/>
  <c r="AK16" i="104"/>
  <c r="AL16" i="104" s="1"/>
  <c r="W16" i="104"/>
  <c r="AI16" i="104"/>
  <c r="AJ11" i="99"/>
  <c r="AM11" i="99"/>
  <c r="W11" i="99"/>
  <c r="AK11" i="99"/>
  <c r="AI11" i="99"/>
  <c r="AK9" i="110"/>
  <c r="AI9" i="110"/>
  <c r="R13" i="102"/>
  <c r="Q13" i="102"/>
  <c r="AN22" i="99"/>
  <c r="S11" i="110"/>
  <c r="T11" i="110" s="1"/>
  <c r="V11" i="110" s="1"/>
  <c r="T19" i="85"/>
  <c r="V19" i="85" s="1"/>
  <c r="AK19" i="85" s="1"/>
  <c r="S12" i="85"/>
  <c r="T12" i="85" s="1"/>
  <c r="V12" i="85" s="1"/>
  <c r="W11" i="86"/>
  <c r="AK19" i="84"/>
  <c r="AL19" i="84" s="1"/>
  <c r="T10" i="106"/>
  <c r="V10" i="106" s="1"/>
  <c r="AJ22" i="99"/>
  <c r="W22" i="99"/>
  <c r="AJ21" i="80"/>
  <c r="AK45" i="84"/>
  <c r="AL45" i="84" s="1"/>
  <c r="AJ11" i="80"/>
  <c r="AI14" i="80"/>
  <c r="AK14" i="80"/>
  <c r="AM14" i="80"/>
  <c r="W14" i="80"/>
  <c r="AJ14" i="80"/>
  <c r="O9" i="103"/>
  <c r="P9" i="103" s="1"/>
  <c r="M25" i="103"/>
  <c r="AK51" i="102"/>
  <c r="AL51" i="102" s="1"/>
  <c r="AI51" i="102"/>
  <c r="W51" i="102"/>
  <c r="AK10" i="108"/>
  <c r="AL10" i="108" s="1"/>
  <c r="AM10" i="108" s="1"/>
  <c r="AP10" i="108"/>
  <c r="AI10" i="108"/>
  <c r="AN10" i="108"/>
  <c r="AK18" i="106"/>
  <c r="AL18" i="106" s="1"/>
  <c r="W18" i="106"/>
  <c r="AI18" i="106"/>
  <c r="AI22" i="101"/>
  <c r="W22" i="101"/>
  <c r="AK22" i="101"/>
  <c r="AL22" i="101" s="1"/>
  <c r="P10" i="84"/>
  <c r="O64" i="84"/>
  <c r="O67" i="84" s="1"/>
  <c r="M67" i="102"/>
  <c r="Q51" i="84"/>
  <c r="R51" i="84"/>
  <c r="T15" i="86"/>
  <c r="V15" i="86" s="1"/>
  <c r="AK31" i="108"/>
  <c r="AL31" i="108" s="1"/>
  <c r="AI31" i="108"/>
  <c r="W31" i="108"/>
  <c r="T16" i="81"/>
  <c r="V16" i="81" s="1"/>
  <c r="W16" i="81" s="1"/>
  <c r="W23" i="102"/>
  <c r="T18" i="85"/>
  <c r="V18" i="85" s="1"/>
  <c r="AK18" i="85" s="1"/>
  <c r="T24" i="108"/>
  <c r="V24" i="108" s="1"/>
  <c r="W24" i="108" s="1"/>
  <c r="S19" i="104"/>
  <c r="T19" i="104" s="1"/>
  <c r="V19" i="104" s="1"/>
  <c r="S13" i="84"/>
  <c r="T13" i="84" s="1"/>
  <c r="V13" i="84" s="1"/>
  <c r="S13" i="106"/>
  <c r="T13" i="106" s="1"/>
  <c r="V13" i="106" s="1"/>
  <c r="AK30" i="84"/>
  <c r="AL30" i="84" s="1"/>
  <c r="AM30" i="84" s="1"/>
  <c r="S9" i="108"/>
  <c r="T9" i="108" s="1"/>
  <c r="S15" i="85"/>
  <c r="T15" i="85" s="1"/>
  <c r="V15" i="85" s="1"/>
  <c r="W22" i="108"/>
  <c r="AK12" i="80"/>
  <c r="AN12" i="80" s="1"/>
  <c r="AI41" i="108"/>
  <c r="S13" i="110"/>
  <c r="T13" i="110" s="1"/>
  <c r="V13" i="110" s="1"/>
  <c r="AK21" i="85"/>
  <c r="AP21" i="85" s="1"/>
  <c r="AI11" i="86"/>
  <c r="S14" i="81"/>
  <c r="T14" i="81" s="1"/>
  <c r="V14" i="81" s="1"/>
  <c r="W14" i="81" s="1"/>
  <c r="S11" i="100"/>
  <c r="T11" i="100" s="1"/>
  <c r="V11" i="100" s="1"/>
  <c r="AI22" i="99"/>
  <c r="AM21" i="80"/>
  <c r="AK21" i="80"/>
  <c r="AI14" i="101"/>
  <c r="AI45" i="84"/>
  <c r="AI11" i="80"/>
  <c r="AK11" i="80"/>
  <c r="AN11" i="80" s="1"/>
  <c r="T19" i="81"/>
  <c r="V19" i="81" s="1"/>
  <c r="AK19" i="81" s="1"/>
  <c r="AL19" i="81" s="1"/>
  <c r="AI16" i="103"/>
  <c r="S21" i="86"/>
  <c r="T21" i="86" s="1"/>
  <c r="V21" i="86" s="1"/>
  <c r="AN13" i="99"/>
  <c r="W13" i="99" s="1"/>
  <c r="P25" i="80"/>
  <c r="S45" i="108"/>
  <c r="T45" i="108" s="1"/>
  <c r="V45" i="108" s="1"/>
  <c r="O15" i="101"/>
  <c r="M23" i="101"/>
  <c r="AI34" i="102"/>
  <c r="AK34" i="102"/>
  <c r="T48" i="108"/>
  <c r="V48" i="108" s="1"/>
  <c r="S29" i="102"/>
  <c r="T29" i="102" s="1"/>
  <c r="V29" i="102" s="1"/>
  <c r="S15" i="105"/>
  <c r="T15" i="105" s="1"/>
  <c r="V15" i="105" s="1"/>
  <c r="S23" i="103"/>
  <c r="T23" i="103" s="1"/>
  <c r="V23" i="103" s="1"/>
  <c r="T27" i="102"/>
  <c r="V27" i="102" s="1"/>
  <c r="T19" i="105"/>
  <c r="V19" i="105" s="1"/>
  <c r="AI19" i="105" s="1"/>
  <c r="AK46" i="108"/>
  <c r="AL46" i="108" s="1"/>
  <c r="W46" i="108"/>
  <c r="AI46" i="108"/>
  <c r="AK17" i="107"/>
  <c r="AL17" i="107" s="1"/>
  <c r="W17" i="107"/>
  <c r="AI17" i="107"/>
  <c r="AI13" i="101"/>
  <c r="W13" i="101"/>
  <c r="AK13" i="101"/>
  <c r="AL13" i="101" s="1"/>
  <c r="W22" i="85"/>
  <c r="AK22" i="85"/>
  <c r="AI22" i="85"/>
  <c r="Q25" i="105"/>
  <c r="R25" i="105"/>
  <c r="R9" i="109"/>
  <c r="R25" i="109" s="1"/>
  <c r="Q9" i="109"/>
  <c r="S9" i="109" s="1"/>
  <c r="S32" i="84"/>
  <c r="T32" i="84"/>
  <c r="V32" i="84" s="1"/>
  <c r="O28" i="86"/>
  <c r="S18" i="108"/>
  <c r="T18" i="108" s="1"/>
  <c r="V18" i="108" s="1"/>
  <c r="S31" i="84"/>
  <c r="T31" i="84" s="1"/>
  <c r="V31" i="84" s="1"/>
  <c r="P13" i="105"/>
  <c r="Q13" i="105" s="1"/>
  <c r="S32" i="102"/>
  <c r="S10" i="107"/>
  <c r="T10" i="107" s="1"/>
  <c r="AQ24" i="103"/>
  <c r="T16" i="86"/>
  <c r="V16" i="86" s="1"/>
  <c r="W16" i="86" s="1"/>
  <c r="S20" i="84"/>
  <c r="T20" i="84" s="1"/>
  <c r="V20" i="84" s="1"/>
  <c r="T9" i="84"/>
  <c r="V9" i="84" s="1"/>
  <c r="T17" i="104"/>
  <c r="V17" i="104" s="1"/>
  <c r="AK17" i="104" s="1"/>
  <c r="AL17" i="104" s="1"/>
  <c r="P25" i="109"/>
  <c r="S21" i="101"/>
  <c r="T21" i="101" s="1"/>
  <c r="V21" i="101" s="1"/>
  <c r="S17" i="105"/>
  <c r="T17" i="105" s="1"/>
  <c r="V17" i="105" s="1"/>
  <c r="T17" i="84"/>
  <c r="V17" i="84" s="1"/>
  <c r="W17" i="84" s="1"/>
  <c r="S16" i="108"/>
  <c r="T16" i="108" s="1"/>
  <c r="V16" i="108" s="1"/>
  <c r="AK21" i="102"/>
  <c r="AI21" i="102"/>
  <c r="AI51" i="108"/>
  <c r="AK51" i="108"/>
  <c r="AL51" i="108" s="1"/>
  <c r="W51" i="108"/>
  <c r="T12" i="108"/>
  <c r="V12" i="108" s="1"/>
  <c r="T15" i="102"/>
  <c r="V15" i="102" s="1"/>
  <c r="AL10" i="101"/>
  <c r="AM10" i="101" s="1"/>
  <c r="AP10" i="101"/>
  <c r="AQ10" i="101" s="1"/>
  <c r="W10" i="101" s="1"/>
  <c r="S23" i="99"/>
  <c r="T23" i="99" s="1"/>
  <c r="V23" i="99" s="1"/>
  <c r="O20" i="108"/>
  <c r="O52" i="108" s="1"/>
  <c r="M65" i="108"/>
  <c r="M67" i="108" s="1"/>
  <c r="M52" i="108"/>
  <c r="S10" i="81"/>
  <c r="T10" i="81" s="1"/>
  <c r="V10" i="81" s="1"/>
  <c r="S17" i="86"/>
  <c r="T17" i="86" s="1"/>
  <c r="V17" i="86" s="1"/>
  <c r="AL16" i="102"/>
  <c r="AM16" i="102" s="1"/>
  <c r="AN16" i="102"/>
  <c r="AP16" i="102"/>
  <c r="AI21" i="104"/>
  <c r="AK21" i="104"/>
  <c r="AL21" i="104" s="1"/>
  <c r="W21" i="104"/>
  <c r="T11" i="101"/>
  <c r="V11" i="101" s="1"/>
  <c r="T37" i="84"/>
  <c r="V37" i="84" s="1"/>
  <c r="AL10" i="104"/>
  <c r="AM10" i="104" s="1"/>
  <c r="AP10" i="104"/>
  <c r="AN10" i="104"/>
  <c r="S36" i="102"/>
  <c r="T36" i="102" s="1"/>
  <c r="V36" i="102" s="1"/>
  <c r="AK15" i="107"/>
  <c r="AL15" i="107" s="1"/>
  <c r="AI15" i="84"/>
  <c r="AK15" i="84"/>
  <c r="AK24" i="102"/>
  <c r="AL24" i="102" s="1"/>
  <c r="AI24" i="102"/>
  <c r="W24" i="102"/>
  <c r="W38" i="102"/>
  <c r="AI38" i="102"/>
  <c r="AK38" i="102"/>
  <c r="AL38" i="102" s="1"/>
  <c r="W20" i="81"/>
  <c r="AI20" i="81"/>
  <c r="AK20" i="81"/>
  <c r="AL20" i="81" s="1"/>
  <c r="AK48" i="84"/>
  <c r="AL48" i="84" s="1"/>
  <c r="W48" i="84"/>
  <c r="AI48" i="84"/>
  <c r="AM18" i="99"/>
  <c r="AK18" i="99"/>
  <c r="W18" i="99"/>
  <c r="AI18" i="99"/>
  <c r="AJ18" i="99"/>
  <c r="AK27" i="108"/>
  <c r="AL27" i="108" s="1"/>
  <c r="Q19" i="107"/>
  <c r="R19" i="107"/>
  <c r="S19" i="107" s="1"/>
  <c r="T19" i="107" s="1"/>
  <c r="V19" i="107" s="1"/>
  <c r="P23" i="107"/>
  <c r="W24" i="84"/>
  <c r="AK24" i="84"/>
  <c r="AL24" i="84" s="1"/>
  <c r="AI24" i="84"/>
  <c r="AI28" i="84"/>
  <c r="AK28" i="84"/>
  <c r="W20" i="86"/>
  <c r="AK20" i="86"/>
  <c r="AL20" i="86" s="1"/>
  <c r="AI20" i="86"/>
  <c r="AK46" i="84"/>
  <c r="AL46" i="84" s="1"/>
  <c r="AI46" i="84"/>
  <c r="W46" i="84"/>
  <c r="AI20" i="102"/>
  <c r="AK20" i="102"/>
  <c r="W18" i="85"/>
  <c r="R20" i="110"/>
  <c r="R28" i="110" s="1"/>
  <c r="Q20" i="110"/>
  <c r="S20" i="110" s="1"/>
  <c r="P28" i="110"/>
  <c r="W22" i="103"/>
  <c r="AK22" i="103"/>
  <c r="AI22" i="103"/>
  <c r="AK17" i="109"/>
  <c r="AK17" i="100"/>
  <c r="AL17" i="100" s="1"/>
  <c r="AI17" i="100"/>
  <c r="AI16" i="110"/>
  <c r="AK16" i="110"/>
  <c r="AL16" i="110" s="1"/>
  <c r="W16" i="110"/>
  <c r="W17" i="104"/>
  <c r="W35" i="84"/>
  <c r="AI35" i="84"/>
  <c r="AK35" i="84"/>
  <c r="AL35" i="84" s="1"/>
  <c r="AK17" i="84"/>
  <c r="AL17" i="84" s="1"/>
  <c r="AM17" i="84" s="1"/>
  <c r="AM19" i="105"/>
  <c r="AJ19" i="105"/>
  <c r="W19" i="105"/>
  <c r="AP24" i="109"/>
  <c r="AL24" i="109"/>
  <c r="AN24" i="109"/>
  <c r="AN29" i="84"/>
  <c r="AP29" i="84"/>
  <c r="AL29" i="84"/>
  <c r="V9" i="80"/>
  <c r="AL9" i="101"/>
  <c r="AM9" i="101" s="1"/>
  <c r="R64" i="108"/>
  <c r="AL43" i="108"/>
  <c r="AM43" i="108" s="1"/>
  <c r="AN43" i="108"/>
  <c r="AP43" i="108"/>
  <c r="AK50" i="102"/>
  <c r="AL50" i="102" s="1"/>
  <c r="W50" i="102"/>
  <c r="AI50" i="102"/>
  <c r="W17" i="85"/>
  <c r="AK17" i="85"/>
  <c r="AI17" i="85"/>
  <c r="K16" i="42"/>
  <c r="N10" i="42"/>
  <c r="N16" i="42" s="1"/>
  <c r="AL12" i="109"/>
  <c r="AN12" i="109"/>
  <c r="AP12" i="109"/>
  <c r="AL14" i="103"/>
  <c r="AN14" i="103"/>
  <c r="AP14" i="103"/>
  <c r="AN17" i="103"/>
  <c r="AL17" i="103"/>
  <c r="AN14" i="104"/>
  <c r="AP14" i="104"/>
  <c r="AL14" i="104"/>
  <c r="AN43" i="84"/>
  <c r="AL43" i="84"/>
  <c r="AM43" i="84" s="1"/>
  <c r="AN24" i="85"/>
  <c r="AP24" i="85"/>
  <c r="AL24" i="85"/>
  <c r="S36" i="84"/>
  <c r="T36" i="84" s="1"/>
  <c r="V36" i="84" s="1"/>
  <c r="P10" i="100"/>
  <c r="S18" i="80"/>
  <c r="T18" i="80" s="1"/>
  <c r="V18" i="80" s="1"/>
  <c r="P22" i="102"/>
  <c r="AN16" i="80"/>
  <c r="S35" i="102"/>
  <c r="T35" i="102" s="1"/>
  <c r="V35" i="102" s="1"/>
  <c r="P11" i="108"/>
  <c r="S15" i="104"/>
  <c r="T15" i="104" s="1"/>
  <c r="S47" i="108"/>
  <c r="T47" i="108" s="1"/>
  <c r="V47" i="108" s="1"/>
  <c r="S11" i="85"/>
  <c r="T11" i="85" s="1"/>
  <c r="V11" i="85" s="1"/>
  <c r="AN16" i="105"/>
  <c r="S19" i="102"/>
  <c r="S33" i="102"/>
  <c r="T33" i="102" s="1"/>
  <c r="V33" i="102" s="1"/>
  <c r="T25" i="108"/>
  <c r="V25" i="108" s="1"/>
  <c r="T13" i="80"/>
  <c r="V13" i="80" s="1"/>
  <c r="S12" i="103"/>
  <c r="T12" i="103" s="1"/>
  <c r="S21" i="107"/>
  <c r="T21" i="107" s="1"/>
  <c r="V21" i="107" s="1"/>
  <c r="O65" i="102"/>
  <c r="O67" i="102" s="1"/>
  <c r="S44" i="102"/>
  <c r="T44" i="102" s="1"/>
  <c r="V44" i="102" s="1"/>
  <c r="S23" i="110"/>
  <c r="T23" i="110" s="1"/>
  <c r="V23" i="110" s="1"/>
  <c r="T21" i="105"/>
  <c r="V21" i="105" s="1"/>
  <c r="S12" i="81"/>
  <c r="S10" i="85"/>
  <c r="T10" i="85" s="1"/>
  <c r="V10" i="85" s="1"/>
  <c r="S19" i="109"/>
  <c r="T19" i="109" s="1"/>
  <c r="V19" i="109" s="1"/>
  <c r="V10" i="99"/>
  <c r="V11" i="102"/>
  <c r="AK20" i="85"/>
  <c r="W20" i="85"/>
  <c r="W22" i="86"/>
  <c r="AI22" i="86"/>
  <c r="AK22" i="86"/>
  <c r="AL22" i="86" s="1"/>
  <c r="AI10" i="110"/>
  <c r="AK10" i="110"/>
  <c r="AP14" i="110"/>
  <c r="AL14" i="110"/>
  <c r="AN14" i="110"/>
  <c r="AN18" i="109"/>
  <c r="AP18" i="109"/>
  <c r="R14" i="85"/>
  <c r="Q14" i="85"/>
  <c r="AK21" i="84"/>
  <c r="AI21" i="84"/>
  <c r="AI16" i="85"/>
  <c r="AK16" i="85"/>
  <c r="W16" i="85"/>
  <c r="AI11" i="103"/>
  <c r="AK11" i="103"/>
  <c r="M25" i="85"/>
  <c r="O9" i="85"/>
  <c r="O25" i="85" s="1"/>
  <c r="R19" i="101"/>
  <c r="Q19" i="101"/>
  <c r="W27" i="99"/>
  <c r="AI27" i="99"/>
  <c r="AK27" i="99"/>
  <c r="AJ27" i="99"/>
  <c r="AM27" i="99"/>
  <c r="AK18" i="84"/>
  <c r="AL18" i="84" s="1"/>
  <c r="AI18" i="84"/>
  <c r="W18" i="84"/>
  <c r="AP34" i="108"/>
  <c r="AL34" i="108"/>
  <c r="AN34" i="108"/>
  <c r="AQ34" i="108" s="1"/>
  <c r="W34" i="108" s="1"/>
  <c r="AN20" i="103"/>
  <c r="AP20" i="103"/>
  <c r="AP14" i="108"/>
  <c r="AN14" i="108"/>
  <c r="AL14" i="108"/>
  <c r="AM14" i="108" s="1"/>
  <c r="AN14" i="84"/>
  <c r="AP14" i="84"/>
  <c r="AL14" i="84"/>
  <c r="AM14" i="84" s="1"/>
  <c r="AN28" i="102"/>
  <c r="AP28" i="102"/>
  <c r="AL28" i="102"/>
  <c r="T32" i="102"/>
  <c r="V32" i="102" s="1"/>
  <c r="T24" i="80"/>
  <c r="V24" i="80" s="1"/>
  <c r="Q65" i="84"/>
  <c r="R65" i="84"/>
  <c r="AQ15" i="109"/>
  <c r="T14" i="107"/>
  <c r="V14" i="107" s="1"/>
  <c r="P19" i="103"/>
  <c r="T12" i="102"/>
  <c r="T10" i="103"/>
  <c r="V10" i="103" s="1"/>
  <c r="S14" i="106"/>
  <c r="T14" i="106" s="1"/>
  <c r="V14" i="106" s="1"/>
  <c r="AN12" i="99"/>
  <c r="AN20" i="80"/>
  <c r="W30" i="108"/>
  <c r="AI30" i="108"/>
  <c r="AK30" i="108"/>
  <c r="AL30" i="108" s="1"/>
  <c r="AM30" i="108" s="1"/>
  <c r="R13" i="105"/>
  <c r="W26" i="99"/>
  <c r="AK26" i="99"/>
  <c r="AM26" i="99"/>
  <c r="AI26" i="99"/>
  <c r="AJ26" i="99"/>
  <c r="R19" i="86"/>
  <c r="R28" i="86" s="1"/>
  <c r="Q19" i="86"/>
  <c r="AJ10" i="105"/>
  <c r="AK10" i="105"/>
  <c r="AI10" i="105"/>
  <c r="AM10" i="105"/>
  <c r="AN12" i="84"/>
  <c r="AK12" i="84"/>
  <c r="AI12" i="84"/>
  <c r="AK15" i="103"/>
  <c r="W15" i="103"/>
  <c r="AI15" i="103"/>
  <c r="R14" i="99"/>
  <c r="Q14" i="99"/>
  <c r="P28" i="99"/>
  <c r="AI13" i="100"/>
  <c r="AK13" i="100"/>
  <c r="AL13" i="100" s="1"/>
  <c r="W13" i="100"/>
  <c r="W9" i="105"/>
  <c r="W25" i="84"/>
  <c r="AI25" i="84"/>
  <c r="AK25" i="84"/>
  <c r="AL25" i="84" s="1"/>
  <c r="W39" i="108"/>
  <c r="AK39" i="108"/>
  <c r="AL39" i="108" s="1"/>
  <c r="AI39" i="108"/>
  <c r="W16" i="109"/>
  <c r="AK16" i="109"/>
  <c r="AI16" i="109"/>
  <c r="AN22" i="109"/>
  <c r="AL22" i="109"/>
  <c r="AP22" i="109"/>
  <c r="AI28" i="108"/>
  <c r="AN21" i="85"/>
  <c r="AP21" i="103"/>
  <c r="W19" i="81"/>
  <c r="P28" i="86"/>
  <c r="AN17" i="80"/>
  <c r="Q21" i="81"/>
  <c r="AN34" i="84"/>
  <c r="AP34" i="84"/>
  <c r="AL34" i="84"/>
  <c r="V12" i="101"/>
  <c r="AP29" i="108"/>
  <c r="AL29" i="108"/>
  <c r="AN29" i="108"/>
  <c r="AP13" i="109"/>
  <c r="AL13" i="109"/>
  <c r="AN13" i="109"/>
  <c r="AN23" i="109"/>
  <c r="AP23" i="109"/>
  <c r="AN9" i="104"/>
  <c r="AL9" i="104"/>
  <c r="AM9" i="104" s="1"/>
  <c r="AP9" i="104"/>
  <c r="AI22" i="84"/>
  <c r="W22" i="84"/>
  <c r="AK22" i="84"/>
  <c r="AL22" i="84" s="1"/>
  <c r="Q12" i="105"/>
  <c r="R12" i="105"/>
  <c r="AI50" i="108"/>
  <c r="W50" i="108"/>
  <c r="AK50" i="108"/>
  <c r="AL50" i="108" s="1"/>
  <c r="AL21" i="108"/>
  <c r="AP21" i="108"/>
  <c r="AN21" i="108"/>
  <c r="Q64" i="108"/>
  <c r="AP13" i="103"/>
  <c r="AL13" i="103"/>
  <c r="AN13" i="103"/>
  <c r="AK16" i="84"/>
  <c r="AI16" i="84"/>
  <c r="Q18" i="104"/>
  <c r="Q28" i="104" s="1"/>
  <c r="R18" i="104"/>
  <c r="R28" i="104" s="1"/>
  <c r="AK18" i="101"/>
  <c r="AL18" i="101" s="1"/>
  <c r="W18" i="101"/>
  <c r="AI18" i="101"/>
  <c r="V14" i="102"/>
  <c r="K16" i="111"/>
  <c r="Q10" i="111"/>
  <c r="R25" i="102"/>
  <c r="Q25" i="102"/>
  <c r="Q11" i="107"/>
  <c r="R11" i="107"/>
  <c r="AK23" i="104"/>
  <c r="AL23" i="104" s="1"/>
  <c r="W23" i="104"/>
  <c r="AI23" i="104"/>
  <c r="AK15" i="80"/>
  <c r="AM15" i="80"/>
  <c r="AJ15" i="80"/>
  <c r="AI15" i="80"/>
  <c r="AN9" i="107"/>
  <c r="AK9" i="107"/>
  <c r="AI9" i="107"/>
  <c r="AN16" i="103"/>
  <c r="AP16" i="103"/>
  <c r="AQ20" i="109"/>
  <c r="T9" i="86"/>
  <c r="AN14" i="105"/>
  <c r="S11" i="109"/>
  <c r="R21" i="81"/>
  <c r="S15" i="108"/>
  <c r="W23" i="85" l="1"/>
  <c r="AK23" i="85"/>
  <c r="AI18" i="81"/>
  <c r="W18" i="81"/>
  <c r="P28" i="105"/>
  <c r="W18" i="107"/>
  <c r="AI16" i="106"/>
  <c r="AJ22" i="105"/>
  <c r="W19" i="106"/>
  <c r="AI14" i="81"/>
  <c r="W20" i="104"/>
  <c r="AI17" i="109"/>
  <c r="S28" i="110"/>
  <c r="AI16" i="81"/>
  <c r="AK9" i="100"/>
  <c r="W16" i="106"/>
  <c r="AJ26" i="105"/>
  <c r="AN25" i="99"/>
  <c r="Q28" i="110"/>
  <c r="R11" i="106"/>
  <c r="R21" i="106" s="1"/>
  <c r="Q28" i="99"/>
  <c r="S64" i="108"/>
  <c r="S14" i="85"/>
  <c r="AK16" i="86"/>
  <c r="AL16" i="86" s="1"/>
  <c r="S15" i="99"/>
  <c r="T15" i="99" s="1"/>
  <c r="V15" i="99" s="1"/>
  <c r="AM26" i="105"/>
  <c r="AN17" i="99"/>
  <c r="AQ9" i="101"/>
  <c r="W9" i="101" s="1"/>
  <c r="W23" i="108"/>
  <c r="AK23" i="108"/>
  <c r="AL23" i="108" s="1"/>
  <c r="W15" i="110"/>
  <c r="AI15" i="110"/>
  <c r="AK15" i="110"/>
  <c r="AL15" i="110" s="1"/>
  <c r="AI13" i="81"/>
  <c r="AK13" i="81"/>
  <c r="AL13" i="81" s="1"/>
  <c r="W13" i="81"/>
  <c r="W31" i="102"/>
  <c r="AK31" i="102"/>
  <c r="AL31" i="102" s="1"/>
  <c r="AI31" i="102"/>
  <c r="AK11" i="81"/>
  <c r="AL11" i="81" s="1"/>
  <c r="W11" i="81"/>
  <c r="AK10" i="109"/>
  <c r="W15" i="107"/>
  <c r="Q9" i="102"/>
  <c r="Q64" i="102" s="1"/>
  <c r="AI18" i="107"/>
  <c r="AI9" i="100"/>
  <c r="AK19" i="106"/>
  <c r="AL19" i="106" s="1"/>
  <c r="W22" i="105"/>
  <c r="AM27" i="105"/>
  <c r="AI27" i="105"/>
  <c r="AK27" i="105"/>
  <c r="AJ27" i="105"/>
  <c r="W27" i="105"/>
  <c r="T19" i="108"/>
  <c r="V19" i="108" s="1"/>
  <c r="S9" i="106"/>
  <c r="T9" i="106" s="1"/>
  <c r="V9" i="106" s="1"/>
  <c r="AI19" i="81"/>
  <c r="AL21" i="85"/>
  <c r="S11" i="84"/>
  <c r="T11" i="84" s="1"/>
  <c r="AQ24" i="85"/>
  <c r="AK18" i="81"/>
  <c r="AL18" i="81" s="1"/>
  <c r="AI22" i="105"/>
  <c r="AM22" i="105"/>
  <c r="AN22" i="105" s="1"/>
  <c r="P21" i="106"/>
  <c r="Q28" i="105"/>
  <c r="Q25" i="109"/>
  <c r="AQ17" i="103"/>
  <c r="AI17" i="84"/>
  <c r="AI32" i="108"/>
  <c r="AK24" i="108"/>
  <c r="AL24" i="108" s="1"/>
  <c r="W19" i="85"/>
  <c r="AI27" i="108"/>
  <c r="AL43" i="102"/>
  <c r="AM43" i="102" s="1"/>
  <c r="R23" i="107"/>
  <c r="S66" i="102"/>
  <c r="R28" i="99"/>
  <c r="Q28" i="86"/>
  <c r="AK19" i="105"/>
  <c r="AN19" i="105" s="1"/>
  <c r="AI17" i="104"/>
  <c r="O25" i="103"/>
  <c r="R9" i="102"/>
  <c r="R64" i="102" s="1"/>
  <c r="AN23" i="105"/>
  <c r="AK27" i="110"/>
  <c r="AL27" i="110" s="1"/>
  <c r="AI27" i="110"/>
  <c r="W27" i="110"/>
  <c r="AK11" i="100"/>
  <c r="AL11" i="100" s="1"/>
  <c r="AI11" i="100"/>
  <c r="W12" i="107"/>
  <c r="AK12" i="107"/>
  <c r="AL12" i="107" s="1"/>
  <c r="AI12" i="107"/>
  <c r="AI22" i="110"/>
  <c r="AK22" i="110"/>
  <c r="AL22" i="110" s="1"/>
  <c r="W22" i="110"/>
  <c r="AQ21" i="108"/>
  <c r="W21" i="108" s="1"/>
  <c r="AN21" i="80"/>
  <c r="AQ10" i="108"/>
  <c r="W10" i="108" s="1"/>
  <c r="AN18" i="99"/>
  <c r="AQ10" i="104"/>
  <c r="W10" i="104" s="1"/>
  <c r="AL13" i="85"/>
  <c r="AP13" i="85"/>
  <c r="AN13" i="85"/>
  <c r="AQ13" i="85" s="1"/>
  <c r="AN26" i="105"/>
  <c r="S25" i="102"/>
  <c r="T25" i="102" s="1"/>
  <c r="V25" i="102" s="1"/>
  <c r="AQ43" i="84"/>
  <c r="W43" i="84" s="1"/>
  <c r="AQ10" i="102"/>
  <c r="W10" i="102" s="1"/>
  <c r="AK15" i="99"/>
  <c r="AM15" i="99"/>
  <c r="AI15" i="99"/>
  <c r="AJ15" i="99"/>
  <c r="AN10" i="81"/>
  <c r="AK10" i="81"/>
  <c r="AI10" i="81"/>
  <c r="W17" i="105"/>
  <c r="AK17" i="105"/>
  <c r="AI17" i="105"/>
  <c r="AJ17" i="105"/>
  <c r="AM17" i="105"/>
  <c r="AN17" i="105" s="1"/>
  <c r="AI19" i="104"/>
  <c r="W19" i="104"/>
  <c r="AK19" i="104"/>
  <c r="AL19" i="104" s="1"/>
  <c r="Q9" i="103"/>
  <c r="R9" i="103"/>
  <c r="AK18" i="103"/>
  <c r="W18" i="103"/>
  <c r="AI31" i="84"/>
  <c r="AK31" i="84"/>
  <c r="AL31" i="84" s="1"/>
  <c r="W31" i="84"/>
  <c r="W23" i="103"/>
  <c r="AK23" i="103"/>
  <c r="AI18" i="108"/>
  <c r="AK18" i="108"/>
  <c r="AL18" i="108" s="1"/>
  <c r="W18" i="108"/>
  <c r="T64" i="108"/>
  <c r="V9" i="108"/>
  <c r="V64" i="108" s="1"/>
  <c r="AK12" i="85"/>
  <c r="AL12" i="85" s="1"/>
  <c r="AI12" i="85"/>
  <c r="W12" i="85"/>
  <c r="W11" i="101"/>
  <c r="AI11" i="101"/>
  <c r="AK11" i="101"/>
  <c r="AL11" i="101" s="1"/>
  <c r="AM23" i="99"/>
  <c r="AK23" i="99"/>
  <c r="AJ23" i="99"/>
  <c r="AI23" i="99"/>
  <c r="W23" i="99"/>
  <c r="AL22" i="85"/>
  <c r="AN22" i="85"/>
  <c r="AP22" i="85"/>
  <c r="AK45" i="108"/>
  <c r="AL45" i="108" s="1"/>
  <c r="W45" i="108"/>
  <c r="AI45" i="108"/>
  <c r="S65" i="84"/>
  <c r="AQ23" i="109"/>
  <c r="AQ34" i="84"/>
  <c r="W34" i="84" s="1"/>
  <c r="AI11" i="81"/>
  <c r="AN43" i="102"/>
  <c r="AQ43" i="102" s="1"/>
  <c r="W43" i="102" s="1"/>
  <c r="AN21" i="103"/>
  <c r="AQ21" i="103" s="1"/>
  <c r="AN26" i="99"/>
  <c r="S13" i="105"/>
  <c r="T13" i="105" s="1"/>
  <c r="V13" i="105" s="1"/>
  <c r="AQ28" i="102"/>
  <c r="W28" i="102" s="1"/>
  <c r="P9" i="85"/>
  <c r="R9" i="85" s="1"/>
  <c r="R25" i="85" s="1"/>
  <c r="T14" i="85"/>
  <c r="V14" i="85" s="1"/>
  <c r="W14" i="85" s="1"/>
  <c r="AQ24" i="109"/>
  <c r="W11" i="100"/>
  <c r="AI24" i="108"/>
  <c r="AK14" i="81"/>
  <c r="AL14" i="81" s="1"/>
  <c r="AK32" i="84"/>
  <c r="AI32" i="84"/>
  <c r="T9" i="109"/>
  <c r="V9" i="109" s="1"/>
  <c r="S25" i="105"/>
  <c r="T25" i="105" s="1"/>
  <c r="V25" i="105" s="1"/>
  <c r="AI29" i="102"/>
  <c r="AK29" i="102"/>
  <c r="R25" i="80"/>
  <c r="R28" i="80" s="1"/>
  <c r="Q25" i="80"/>
  <c r="P28" i="80"/>
  <c r="S51" i="84"/>
  <c r="T51" i="84" s="1"/>
  <c r="V51" i="84" s="1"/>
  <c r="AN11" i="99"/>
  <c r="W18" i="102"/>
  <c r="AI18" i="102"/>
  <c r="AK18" i="102"/>
  <c r="AL18" i="102" s="1"/>
  <c r="AQ13" i="103"/>
  <c r="R28" i="105"/>
  <c r="AQ29" i="108"/>
  <c r="W29" i="108" s="1"/>
  <c r="T66" i="102"/>
  <c r="S21" i="81"/>
  <c r="AI23" i="108"/>
  <c r="T20" i="110"/>
  <c r="V20" i="110" s="1"/>
  <c r="AK16" i="81"/>
  <c r="AL16" i="81" s="1"/>
  <c r="AI16" i="86"/>
  <c r="W36" i="102"/>
  <c r="AK36" i="102"/>
  <c r="AL36" i="102" s="1"/>
  <c r="AI36" i="102"/>
  <c r="W37" i="84"/>
  <c r="AI37" i="84"/>
  <c r="AK37" i="84"/>
  <c r="AL37" i="84" s="1"/>
  <c r="P20" i="108"/>
  <c r="O65" i="108"/>
  <c r="O67" i="108" s="1"/>
  <c r="AK15" i="102"/>
  <c r="AI15" i="102"/>
  <c r="W27" i="102"/>
  <c r="AI27" i="102"/>
  <c r="AK27" i="102"/>
  <c r="AL27" i="102" s="1"/>
  <c r="AI48" i="108"/>
  <c r="AK48" i="108"/>
  <c r="AL48" i="108" s="1"/>
  <c r="W48" i="108"/>
  <c r="P15" i="101"/>
  <c r="O23" i="101"/>
  <c r="W17" i="81"/>
  <c r="AI17" i="81"/>
  <c r="AK17" i="81"/>
  <c r="AL17" i="81" s="1"/>
  <c r="R10" i="84"/>
  <c r="Q10" i="84"/>
  <c r="P64" i="84"/>
  <c r="P67" i="84" s="1"/>
  <c r="P52" i="84"/>
  <c r="AN9" i="110"/>
  <c r="AP9" i="110"/>
  <c r="AL9" i="110"/>
  <c r="AM9" i="110" s="1"/>
  <c r="AN11" i="105"/>
  <c r="AN12" i="108"/>
  <c r="AK12" i="108"/>
  <c r="AI12" i="108"/>
  <c r="AI17" i="86"/>
  <c r="W17" i="86"/>
  <c r="AK17" i="86"/>
  <c r="AL17" i="86" s="1"/>
  <c r="AL34" i="102"/>
  <c r="AN34" i="102"/>
  <c r="AP34" i="102"/>
  <c r="AI26" i="86"/>
  <c r="AK26" i="86"/>
  <c r="AL26" i="86" s="1"/>
  <c r="W26" i="86"/>
  <c r="AQ18" i="109"/>
  <c r="AQ14" i="104"/>
  <c r="W14" i="104" s="1"/>
  <c r="AQ16" i="102"/>
  <c r="W16" i="102" s="1"/>
  <c r="AP21" i="102"/>
  <c r="AN21" i="102"/>
  <c r="AL21" i="102"/>
  <c r="AK15" i="105"/>
  <c r="AJ15" i="105"/>
  <c r="AM15" i="105"/>
  <c r="AI15" i="105"/>
  <c r="AK15" i="86"/>
  <c r="AL15" i="86" s="1"/>
  <c r="W15" i="86"/>
  <c r="AI15" i="86"/>
  <c r="AN14" i="80"/>
  <c r="S13" i="102"/>
  <c r="T13" i="102" s="1"/>
  <c r="V13" i="102" s="1"/>
  <c r="AP9" i="100"/>
  <c r="AQ9" i="100" s="1"/>
  <c r="W9" i="100" s="1"/>
  <c r="AL9" i="100"/>
  <c r="AM9" i="100" s="1"/>
  <c r="W21" i="107"/>
  <c r="AK21" i="107"/>
  <c r="AL21" i="107" s="1"/>
  <c r="AI21" i="107"/>
  <c r="AK35" i="102"/>
  <c r="AL35" i="102" s="1"/>
  <c r="W35" i="102"/>
  <c r="AI35" i="102"/>
  <c r="AK33" i="102"/>
  <c r="AL33" i="102" s="1"/>
  <c r="AI33" i="102"/>
  <c r="W33" i="102"/>
  <c r="AI47" i="108"/>
  <c r="W47" i="108"/>
  <c r="AK47" i="108"/>
  <c r="AL47" i="108" s="1"/>
  <c r="AI10" i="85"/>
  <c r="AK10" i="85"/>
  <c r="AK18" i="80"/>
  <c r="AI18" i="80"/>
  <c r="AM18" i="80"/>
  <c r="AJ18" i="80"/>
  <c r="W18" i="80"/>
  <c r="W23" i="110"/>
  <c r="AI23" i="110"/>
  <c r="AK23" i="110"/>
  <c r="AL23" i="110" s="1"/>
  <c r="AI10" i="86"/>
  <c r="AK10" i="86"/>
  <c r="AK36" i="84"/>
  <c r="AL36" i="84" s="1"/>
  <c r="AI36" i="84"/>
  <c r="W36" i="84"/>
  <c r="W19" i="109"/>
  <c r="AK19" i="109"/>
  <c r="V12" i="103"/>
  <c r="AK19" i="107"/>
  <c r="AL19" i="107" s="1"/>
  <c r="W19" i="107"/>
  <c r="AI19" i="107"/>
  <c r="W20" i="110"/>
  <c r="AK20" i="110"/>
  <c r="AL20" i="110" s="1"/>
  <c r="AI20" i="110"/>
  <c r="AP16" i="109"/>
  <c r="AN16" i="109"/>
  <c r="AL16" i="109"/>
  <c r="AK20" i="84"/>
  <c r="AI20" i="84"/>
  <c r="AK24" i="80"/>
  <c r="AJ24" i="80"/>
  <c r="W24" i="80"/>
  <c r="AM24" i="80"/>
  <c r="AI24" i="80"/>
  <c r="AN11" i="103"/>
  <c r="AP11" i="103"/>
  <c r="AL11" i="103"/>
  <c r="AP11" i="102"/>
  <c r="AN11" i="102"/>
  <c r="V66" i="102"/>
  <c r="AK11" i="102"/>
  <c r="AL11" i="102" s="1"/>
  <c r="AM11" i="102" s="1"/>
  <c r="AI11" i="102"/>
  <c r="AI14" i="102"/>
  <c r="AK14" i="102"/>
  <c r="P25" i="85"/>
  <c r="AI21" i="109"/>
  <c r="AK21" i="109"/>
  <c r="W21" i="109"/>
  <c r="AK14" i="106"/>
  <c r="AL14" i="106" s="1"/>
  <c r="W14" i="106"/>
  <c r="AI14" i="106"/>
  <c r="AI44" i="102"/>
  <c r="W44" i="102"/>
  <c r="AK44" i="102"/>
  <c r="AL44" i="102" s="1"/>
  <c r="AN20" i="102"/>
  <c r="AL20" i="102"/>
  <c r="AM20" i="102" s="1"/>
  <c r="AP20" i="102"/>
  <c r="AP28" i="84"/>
  <c r="AN28" i="84"/>
  <c r="AL28" i="84"/>
  <c r="AP15" i="84"/>
  <c r="AN15" i="84"/>
  <c r="AL15" i="84"/>
  <c r="AP9" i="107"/>
  <c r="AQ9" i="107" s="1"/>
  <c r="W9" i="107" s="1"/>
  <c r="AL9" i="107"/>
  <c r="AM9" i="107" s="1"/>
  <c r="AP28" i="108"/>
  <c r="AL28" i="108"/>
  <c r="AN28" i="108"/>
  <c r="AK21" i="101"/>
  <c r="AL21" i="101" s="1"/>
  <c r="W21" i="101"/>
  <c r="AI21" i="101"/>
  <c r="AI10" i="103"/>
  <c r="AK10" i="103"/>
  <c r="V12" i="102"/>
  <c r="AK14" i="107"/>
  <c r="AL14" i="107" s="1"/>
  <c r="W14" i="107"/>
  <c r="AI14" i="107"/>
  <c r="AI32" i="102"/>
  <c r="AK32" i="102"/>
  <c r="AN16" i="85"/>
  <c r="AL16" i="85"/>
  <c r="AP16" i="85"/>
  <c r="AP10" i="110"/>
  <c r="AL10" i="110"/>
  <c r="AM10" i="110" s="1"/>
  <c r="AN10" i="110"/>
  <c r="W21" i="86"/>
  <c r="AI21" i="86"/>
  <c r="AK21" i="86"/>
  <c r="AL21" i="86" s="1"/>
  <c r="V9" i="81"/>
  <c r="AK13" i="80"/>
  <c r="AM13" i="80"/>
  <c r="AJ13" i="80"/>
  <c r="AI13" i="80"/>
  <c r="AI14" i="86"/>
  <c r="AK14" i="86"/>
  <c r="AI16" i="108"/>
  <c r="AK16" i="108"/>
  <c r="AK9" i="108"/>
  <c r="AL9" i="108" s="1"/>
  <c r="AM9" i="108" s="1"/>
  <c r="AI9" i="108"/>
  <c r="AP9" i="108"/>
  <c r="AQ14" i="108"/>
  <c r="W14" i="108" s="1"/>
  <c r="S19" i="101"/>
  <c r="T28" i="110"/>
  <c r="T65" i="84"/>
  <c r="Q23" i="107"/>
  <c r="AQ16" i="103"/>
  <c r="AN15" i="80"/>
  <c r="W15" i="80" s="1"/>
  <c r="S11" i="107"/>
  <c r="S23" i="107" s="1"/>
  <c r="AQ9" i="104"/>
  <c r="W9" i="104" s="1"/>
  <c r="AQ22" i="109"/>
  <c r="AN10" i="105"/>
  <c r="AQ20" i="103"/>
  <c r="AN27" i="99"/>
  <c r="T19" i="101"/>
  <c r="AQ14" i="110"/>
  <c r="W14" i="110" s="1"/>
  <c r="AQ12" i="109"/>
  <c r="AQ43" i="108"/>
  <c r="W43" i="108" s="1"/>
  <c r="T12" i="81"/>
  <c r="V12" i="81" s="1"/>
  <c r="AP16" i="84"/>
  <c r="AN16" i="84"/>
  <c r="AL16" i="84"/>
  <c r="AM16" i="84" s="1"/>
  <c r="AP12" i="85"/>
  <c r="AI13" i="110"/>
  <c r="AK13" i="110"/>
  <c r="AL13" i="110" s="1"/>
  <c r="W13" i="110"/>
  <c r="V15" i="104"/>
  <c r="AK20" i="106"/>
  <c r="AL20" i="106" s="1"/>
  <c r="AI20" i="106"/>
  <c r="W20" i="106"/>
  <c r="AP12" i="84"/>
  <c r="AQ12" i="84" s="1"/>
  <c r="W12" i="84" s="1"/>
  <c r="AL12" i="84"/>
  <c r="AM12" i="84" s="1"/>
  <c r="Q19" i="103"/>
  <c r="R19" i="103"/>
  <c r="S19" i="103" s="1"/>
  <c r="P25" i="103"/>
  <c r="S66" i="84"/>
  <c r="AP20" i="85"/>
  <c r="AN20" i="85"/>
  <c r="AI15" i="85"/>
  <c r="W15" i="85"/>
  <c r="AK15" i="85"/>
  <c r="R10" i="100"/>
  <c r="R21" i="100" s="1"/>
  <c r="P21" i="100"/>
  <c r="Q10" i="100"/>
  <c r="Q21" i="100" s="1"/>
  <c r="AK9" i="80"/>
  <c r="AJ9" i="80"/>
  <c r="AI9" i="80"/>
  <c r="AM9" i="80"/>
  <c r="V9" i="86"/>
  <c r="Q16" i="111"/>
  <c r="W10" i="111"/>
  <c r="W16" i="111" s="1"/>
  <c r="AN9" i="84"/>
  <c r="AK9" i="84"/>
  <c r="AL9" i="84" s="1"/>
  <c r="AM9" i="84" s="1"/>
  <c r="AI9" i="84"/>
  <c r="AP9" i="84"/>
  <c r="AN15" i="103"/>
  <c r="AP15" i="103"/>
  <c r="AL15" i="103"/>
  <c r="AP21" i="84"/>
  <c r="AN21" i="84"/>
  <c r="AL21" i="84"/>
  <c r="AK10" i="99"/>
  <c r="AM10" i="99"/>
  <c r="AJ10" i="99"/>
  <c r="AI10" i="99"/>
  <c r="AM21" i="105"/>
  <c r="W21" i="105"/>
  <c r="AK21" i="105"/>
  <c r="AJ21" i="105"/>
  <c r="AI21" i="105"/>
  <c r="W25" i="108"/>
  <c r="AI25" i="108"/>
  <c r="AK25" i="108"/>
  <c r="AL25" i="108" s="1"/>
  <c r="R22" i="102"/>
  <c r="Q22" i="102"/>
  <c r="P65" i="102"/>
  <c r="P67" i="102" s="1"/>
  <c r="P52" i="102"/>
  <c r="AP32" i="108"/>
  <c r="AL32" i="108"/>
  <c r="AN32" i="108"/>
  <c r="AP18" i="85"/>
  <c r="AN18" i="85"/>
  <c r="AP23" i="85"/>
  <c r="AN23" i="85"/>
  <c r="AN19" i="85"/>
  <c r="AP19" i="85"/>
  <c r="S11" i="106"/>
  <c r="S19" i="86"/>
  <c r="S28" i="86" s="1"/>
  <c r="Q21" i="106"/>
  <c r="S25" i="109"/>
  <c r="S18" i="104"/>
  <c r="T18" i="104" s="1"/>
  <c r="V18" i="104" s="1"/>
  <c r="S12" i="105"/>
  <c r="S28" i="105" s="1"/>
  <c r="AQ13" i="109"/>
  <c r="AQ21" i="85"/>
  <c r="S14" i="99"/>
  <c r="T15" i="108"/>
  <c r="AQ14" i="84"/>
  <c r="W14" i="84" s="1"/>
  <c r="V28" i="110"/>
  <c r="I33" i="110" s="1"/>
  <c r="K33" i="110" s="1"/>
  <c r="AQ14" i="103"/>
  <c r="AQ29" i="84"/>
  <c r="W29" i="84" s="1"/>
  <c r="T11" i="109"/>
  <c r="W12" i="101"/>
  <c r="AI12" i="101"/>
  <c r="AK12" i="101"/>
  <c r="AL12" i="101" s="1"/>
  <c r="W13" i="106"/>
  <c r="AI13" i="106"/>
  <c r="AK13" i="106"/>
  <c r="AL13" i="106" s="1"/>
  <c r="R11" i="108"/>
  <c r="Q11" i="108"/>
  <c r="P66" i="108"/>
  <c r="P52" i="108"/>
  <c r="AN17" i="85"/>
  <c r="AP17" i="85"/>
  <c r="AL17" i="85"/>
  <c r="AK11" i="85"/>
  <c r="AI11" i="85"/>
  <c r="AP17" i="109"/>
  <c r="AL17" i="109"/>
  <c r="AN17" i="109"/>
  <c r="AN10" i="106"/>
  <c r="AI10" i="106"/>
  <c r="AK10" i="106"/>
  <c r="AP22" i="103"/>
  <c r="AL22" i="103"/>
  <c r="AN22" i="103"/>
  <c r="V10" i="107"/>
  <c r="AI11" i="110"/>
  <c r="AK11" i="110"/>
  <c r="AL11" i="110" s="1"/>
  <c r="W11" i="110"/>
  <c r="W13" i="84"/>
  <c r="V65" i="84"/>
  <c r="AI13" i="84"/>
  <c r="AK13" i="84"/>
  <c r="AL13" i="84" s="1"/>
  <c r="T19" i="102"/>
  <c r="AN10" i="99" l="1"/>
  <c r="AN27" i="105"/>
  <c r="Q25" i="103"/>
  <c r="Q9" i="85"/>
  <c r="Q25" i="85" s="1"/>
  <c r="AQ23" i="85"/>
  <c r="AN24" i="80"/>
  <c r="AQ16" i="109"/>
  <c r="AK9" i="106"/>
  <c r="AI9" i="106"/>
  <c r="AN9" i="106"/>
  <c r="AI25" i="102"/>
  <c r="AK25" i="102"/>
  <c r="AL25" i="102" s="1"/>
  <c r="S21" i="106"/>
  <c r="AQ9" i="110"/>
  <c r="W9" i="110" s="1"/>
  <c r="AK19" i="108"/>
  <c r="AL19" i="108" s="1"/>
  <c r="AI19" i="108"/>
  <c r="W19" i="108"/>
  <c r="AP10" i="109"/>
  <c r="AN10" i="109"/>
  <c r="AQ22" i="103"/>
  <c r="AQ16" i="85"/>
  <c r="AL10" i="109"/>
  <c r="AM10" i="109" s="1"/>
  <c r="AQ17" i="85"/>
  <c r="S22" i="102"/>
  <c r="T22" i="102" s="1"/>
  <c r="AN9" i="108"/>
  <c r="AQ9" i="108" s="1"/>
  <c r="W9" i="108" s="1"/>
  <c r="S9" i="102"/>
  <c r="S64" i="102" s="1"/>
  <c r="S52" i="102"/>
  <c r="AQ28" i="84"/>
  <c r="W28" i="84" s="1"/>
  <c r="AN18" i="80"/>
  <c r="AN23" i="99"/>
  <c r="AN15" i="99"/>
  <c r="W15" i="99" s="1"/>
  <c r="AQ21" i="84"/>
  <c r="W21" i="84" s="1"/>
  <c r="T21" i="81"/>
  <c r="T9" i="102"/>
  <c r="W13" i="102"/>
  <c r="AI13" i="102"/>
  <c r="AK13" i="102"/>
  <c r="AL13" i="102" s="1"/>
  <c r="AI13" i="105"/>
  <c r="AM13" i="105"/>
  <c r="AJ13" i="105"/>
  <c r="AK13" i="105"/>
  <c r="AQ32" i="108"/>
  <c r="W32" i="108" s="1"/>
  <c r="T19" i="86"/>
  <c r="W25" i="102"/>
  <c r="AK14" i="85"/>
  <c r="Q64" i="84"/>
  <c r="Q67" i="84" s="1"/>
  <c r="Q52" i="84"/>
  <c r="AN32" i="84"/>
  <c r="AP32" i="84"/>
  <c r="AL32" i="84"/>
  <c r="W51" i="84"/>
  <c r="AI51" i="84"/>
  <c r="AK51" i="84"/>
  <c r="AL51" i="84" s="1"/>
  <c r="AP23" i="103"/>
  <c r="AN23" i="103"/>
  <c r="S11" i="108"/>
  <c r="T11" i="108" s="1"/>
  <c r="AQ19" i="85"/>
  <c r="AQ15" i="103"/>
  <c r="T19" i="103"/>
  <c r="V19" i="103" s="1"/>
  <c r="AK19" i="103" s="1"/>
  <c r="AN12" i="85"/>
  <c r="AQ12" i="85" s="1"/>
  <c r="AQ11" i="102"/>
  <c r="W11" i="102" s="1"/>
  <c r="W66" i="102" s="1"/>
  <c r="X66" i="102" s="1"/>
  <c r="AI14" i="85"/>
  <c r="AN15" i="105"/>
  <c r="W15" i="105" s="1"/>
  <c r="AQ34" i="102"/>
  <c r="W34" i="102" s="1"/>
  <c r="S10" i="84"/>
  <c r="R64" i="84"/>
  <c r="R67" i="84" s="1"/>
  <c r="R52" i="84"/>
  <c r="AN15" i="102"/>
  <c r="AP15" i="102"/>
  <c r="AL15" i="102"/>
  <c r="AQ22" i="85"/>
  <c r="S9" i="103"/>
  <c r="T9" i="103" s="1"/>
  <c r="Q15" i="101"/>
  <c r="Q23" i="101" s="1"/>
  <c r="R15" i="101"/>
  <c r="R23" i="101" s="1"/>
  <c r="S15" i="101"/>
  <c r="S23" i="101" s="1"/>
  <c r="P23" i="101"/>
  <c r="AI9" i="109"/>
  <c r="AK9" i="109"/>
  <c r="AN18" i="103"/>
  <c r="AP18" i="103"/>
  <c r="W25" i="105"/>
  <c r="AM25" i="105"/>
  <c r="AJ25" i="105"/>
  <c r="AK25" i="105"/>
  <c r="AI25" i="105"/>
  <c r="R25" i="103"/>
  <c r="AQ11" i="103"/>
  <c r="W11" i="103" s="1"/>
  <c r="AQ21" i="102"/>
  <c r="W21" i="102" s="1"/>
  <c r="AL12" i="108"/>
  <c r="AM12" i="108" s="1"/>
  <c r="AP12" i="108"/>
  <c r="AQ12" i="108" s="1"/>
  <c r="W12" i="108" s="1"/>
  <c r="T10" i="84"/>
  <c r="T52" i="84" s="1"/>
  <c r="Q20" i="108"/>
  <c r="Q65" i="108" s="1"/>
  <c r="R20" i="108"/>
  <c r="R65" i="108" s="1"/>
  <c r="P65" i="108"/>
  <c r="P67" i="108" s="1"/>
  <c r="S25" i="80"/>
  <c r="Q28" i="80"/>
  <c r="AP29" i="102"/>
  <c r="AN29" i="102"/>
  <c r="AL29" i="102"/>
  <c r="AP10" i="81"/>
  <c r="AQ10" i="81" s="1"/>
  <c r="W10" i="81" s="1"/>
  <c r="AL10" i="81"/>
  <c r="AM10" i="81" s="1"/>
  <c r="AL10" i="106"/>
  <c r="AM10" i="106" s="1"/>
  <c r="AP10" i="106"/>
  <c r="AQ10" i="106" s="1"/>
  <c r="W10" i="106" s="1"/>
  <c r="T14" i="99"/>
  <c r="S28" i="99"/>
  <c r="W10" i="99"/>
  <c r="AK9" i="86"/>
  <c r="AI9" i="86"/>
  <c r="V19" i="101"/>
  <c r="AN10" i="85"/>
  <c r="AP10" i="85"/>
  <c r="AL10" i="85"/>
  <c r="AM10" i="85" s="1"/>
  <c r="V19" i="102"/>
  <c r="AI10" i="107"/>
  <c r="AN10" i="107"/>
  <c r="AK10" i="107"/>
  <c r="R66" i="108"/>
  <c r="R67" i="108" s="1"/>
  <c r="R52" i="108"/>
  <c r="V11" i="109"/>
  <c r="T25" i="109"/>
  <c r="Q52" i="102"/>
  <c r="Q65" i="102"/>
  <c r="Q67" i="102" s="1"/>
  <c r="AI15" i="104"/>
  <c r="W15" i="104"/>
  <c r="AK15" i="104"/>
  <c r="AL15" i="104" s="1"/>
  <c r="V28" i="104"/>
  <c r="I33" i="104" s="1"/>
  <c r="K33" i="104" s="1"/>
  <c r="AI12" i="81"/>
  <c r="W12" i="81"/>
  <c r="AK12" i="81"/>
  <c r="AL12" i="81" s="1"/>
  <c r="AN9" i="81"/>
  <c r="AK9" i="81"/>
  <c r="AI9" i="81"/>
  <c r="V21" i="81"/>
  <c r="AK12" i="102"/>
  <c r="AI12" i="102"/>
  <c r="AN12" i="102"/>
  <c r="AN21" i="109"/>
  <c r="AL21" i="109"/>
  <c r="AP21" i="109"/>
  <c r="AP14" i="102"/>
  <c r="AL14" i="102"/>
  <c r="AM14" i="102" s="1"/>
  <c r="AN14" i="102"/>
  <c r="AN20" i="84"/>
  <c r="AP20" i="84"/>
  <c r="AL20" i="84"/>
  <c r="AM20" i="84" s="1"/>
  <c r="AN19" i="109"/>
  <c r="AP19" i="109"/>
  <c r="AP14" i="85"/>
  <c r="AN14" i="85"/>
  <c r="AL14" i="85"/>
  <c r="S65" i="102"/>
  <c r="S67" i="102" s="1"/>
  <c r="AQ17" i="109"/>
  <c r="AQ20" i="85"/>
  <c r="AQ16" i="84"/>
  <c r="W16" i="84" s="1"/>
  <c r="T12" i="105"/>
  <c r="AQ10" i="110"/>
  <c r="W10" i="110" s="1"/>
  <c r="AQ28" i="108"/>
  <c r="W28" i="108" s="1"/>
  <c r="AQ15" i="84"/>
  <c r="W15" i="84" s="1"/>
  <c r="T11" i="106"/>
  <c r="AI18" i="104"/>
  <c r="AK18" i="104"/>
  <c r="AL18" i="104" s="1"/>
  <c r="W18" i="104"/>
  <c r="AN10" i="103"/>
  <c r="AL10" i="103"/>
  <c r="AM10" i="103" s="1"/>
  <c r="AP10" i="103"/>
  <c r="AN11" i="85"/>
  <c r="AP11" i="85"/>
  <c r="AL11" i="85"/>
  <c r="Q66" i="108"/>
  <c r="V15" i="108"/>
  <c r="R65" i="102"/>
  <c r="R67" i="102" s="1"/>
  <c r="R52" i="102"/>
  <c r="AP16" i="108"/>
  <c r="AN16" i="108"/>
  <c r="AL16" i="108"/>
  <c r="AM16" i="108" s="1"/>
  <c r="W12" i="103"/>
  <c r="AK12" i="103"/>
  <c r="AI12" i="103"/>
  <c r="AQ18" i="85"/>
  <c r="AN21" i="105"/>
  <c r="AN9" i="80"/>
  <c r="S10" i="100"/>
  <c r="S21" i="100" s="1"/>
  <c r="T28" i="104"/>
  <c r="AN13" i="80"/>
  <c r="W13" i="80" s="1"/>
  <c r="AQ20" i="102"/>
  <c r="W20" i="102" s="1"/>
  <c r="T11" i="107"/>
  <c r="AL15" i="85"/>
  <c r="AN15" i="85"/>
  <c r="AP15" i="85"/>
  <c r="T66" i="84"/>
  <c r="V11" i="84"/>
  <c r="W10" i="105"/>
  <c r="AP14" i="86"/>
  <c r="AL14" i="86"/>
  <c r="AN14" i="86"/>
  <c r="AP32" i="102"/>
  <c r="AN32" i="102"/>
  <c r="AL32" i="102"/>
  <c r="AN10" i="86"/>
  <c r="AP10" i="86"/>
  <c r="AL10" i="86"/>
  <c r="AM10" i="86" s="1"/>
  <c r="AQ9" i="84"/>
  <c r="W9" i="84" s="1"/>
  <c r="S28" i="104"/>
  <c r="V22" i="102" l="1"/>
  <c r="T65" i="102"/>
  <c r="S9" i="85"/>
  <c r="S25" i="85" s="1"/>
  <c r="T52" i="102"/>
  <c r="W64" i="108"/>
  <c r="X64" i="108" s="1"/>
  <c r="W19" i="103"/>
  <c r="S66" i="108"/>
  <c r="W28" i="110"/>
  <c r="J33" i="110" s="1"/>
  <c r="L33" i="110" s="1"/>
  <c r="AQ15" i="85"/>
  <c r="W28" i="104"/>
  <c r="J33" i="104" s="1"/>
  <c r="L33" i="104" s="1"/>
  <c r="AN13" i="105"/>
  <c r="W13" i="105" s="1"/>
  <c r="AQ10" i="109"/>
  <c r="W10" i="109" s="1"/>
  <c r="AL9" i="106"/>
  <c r="AM9" i="106" s="1"/>
  <c r="AP9" i="106"/>
  <c r="AQ9" i="106" s="1"/>
  <c r="W9" i="106" s="1"/>
  <c r="V9" i="102"/>
  <c r="T64" i="102"/>
  <c r="T67" i="102" s="1"/>
  <c r="AQ23" i="103"/>
  <c r="S20" i="108"/>
  <c r="S65" i="108" s="1"/>
  <c r="AN25" i="105"/>
  <c r="Q52" i="108"/>
  <c r="AQ18" i="103"/>
  <c r="AQ15" i="102"/>
  <c r="W15" i="102" s="1"/>
  <c r="T66" i="108"/>
  <c r="V11" i="108"/>
  <c r="AK11" i="108" s="1"/>
  <c r="AL11" i="108" s="1"/>
  <c r="AM11" i="108" s="1"/>
  <c r="V9" i="103"/>
  <c r="T25" i="103"/>
  <c r="T25" i="80"/>
  <c r="S28" i="80"/>
  <c r="T10" i="100"/>
  <c r="T21" i="100" s="1"/>
  <c r="AQ14" i="85"/>
  <c r="AQ29" i="102"/>
  <c r="W29" i="102" s="1"/>
  <c r="T15" i="101"/>
  <c r="S25" i="103"/>
  <c r="V19" i="86"/>
  <c r="T28" i="86"/>
  <c r="AQ10" i="86"/>
  <c r="W10" i="86" s="1"/>
  <c r="Q67" i="108"/>
  <c r="V10" i="84"/>
  <c r="V52" i="84" s="1"/>
  <c r="T64" i="84"/>
  <c r="T67" i="84" s="1"/>
  <c r="AN9" i="109"/>
  <c r="AP9" i="109"/>
  <c r="AL9" i="109"/>
  <c r="AM9" i="109" s="1"/>
  <c r="S64" i="84"/>
  <c r="S67" i="84" s="1"/>
  <c r="S52" i="84"/>
  <c r="AQ32" i="84"/>
  <c r="W32" i="84" s="1"/>
  <c r="W9" i="80"/>
  <c r="V11" i="106"/>
  <c r="T21" i="106"/>
  <c r="AI11" i="109"/>
  <c r="AK11" i="109"/>
  <c r="V25" i="109"/>
  <c r="I31" i="109" s="1"/>
  <c r="K31" i="109" s="1"/>
  <c r="AP10" i="107"/>
  <c r="AQ10" i="107" s="1"/>
  <c r="W10" i="107" s="1"/>
  <c r="AL10" i="107"/>
  <c r="AM10" i="107" s="1"/>
  <c r="AK19" i="102"/>
  <c r="AL19" i="102" s="1"/>
  <c r="W19" i="102"/>
  <c r="AI19" i="102"/>
  <c r="V65" i="102"/>
  <c r="AP11" i="108"/>
  <c r="AQ16" i="108"/>
  <c r="W16" i="108" s="1"/>
  <c r="AQ11" i="85"/>
  <c r="W11" i="85" s="1"/>
  <c r="AQ19" i="109"/>
  <c r="AQ14" i="102"/>
  <c r="W14" i="102" s="1"/>
  <c r="AQ21" i="109"/>
  <c r="AP11" i="84"/>
  <c r="AN11" i="84"/>
  <c r="AK11" i="84"/>
  <c r="AL11" i="84" s="1"/>
  <c r="AM11" i="84" s="1"/>
  <c r="AI11" i="84"/>
  <c r="V66" i="84"/>
  <c r="AP12" i="103"/>
  <c r="AL12" i="103"/>
  <c r="AN12" i="103"/>
  <c r="AK15" i="108"/>
  <c r="AI15" i="108"/>
  <c r="I12" i="111"/>
  <c r="O12" i="111" s="1"/>
  <c r="I28" i="81"/>
  <c r="W19" i="101"/>
  <c r="AI19" i="101"/>
  <c r="AK19" i="101"/>
  <c r="AL19" i="101" s="1"/>
  <c r="AN9" i="86"/>
  <c r="AP9" i="86"/>
  <c r="AL9" i="86"/>
  <c r="AM9" i="86" s="1"/>
  <c r="AQ32" i="102"/>
  <c r="W32" i="102" s="1"/>
  <c r="AQ14" i="86"/>
  <c r="W14" i="86" s="1"/>
  <c r="AQ10" i="103"/>
  <c r="W10" i="103" s="1"/>
  <c r="AQ20" i="84"/>
  <c r="W20" i="84" s="1"/>
  <c r="AQ10" i="85"/>
  <c r="W10" i="85" s="1"/>
  <c r="V11" i="107"/>
  <c r="T23" i="107"/>
  <c r="V12" i="105"/>
  <c r="T28" i="105"/>
  <c r="V10" i="100"/>
  <c r="AL12" i="102"/>
  <c r="AM12" i="102" s="1"/>
  <c r="AP12" i="102"/>
  <c r="AQ12" i="102" s="1"/>
  <c r="W12" i="102" s="1"/>
  <c r="V14" i="99"/>
  <c r="T28" i="99"/>
  <c r="AP9" i="81"/>
  <c r="AQ9" i="81" s="1"/>
  <c r="W9" i="81" s="1"/>
  <c r="W21" i="81" s="1"/>
  <c r="AL9" i="81"/>
  <c r="AM9" i="81" s="1"/>
  <c r="AP19" i="103"/>
  <c r="AN19" i="103"/>
  <c r="S67" i="108" l="1"/>
  <c r="T9" i="85"/>
  <c r="W22" i="102"/>
  <c r="AI22" i="102"/>
  <c r="AK22" i="102"/>
  <c r="AL22" i="102" s="1"/>
  <c r="W65" i="84"/>
  <c r="X65" i="84" s="1"/>
  <c r="AI11" i="108"/>
  <c r="T20" i="108"/>
  <c r="T52" i="108" s="1"/>
  <c r="S52" i="108"/>
  <c r="AQ9" i="86"/>
  <c r="W9" i="86" s="1"/>
  <c r="AN9" i="102"/>
  <c r="AK9" i="102"/>
  <c r="AL9" i="102" s="1"/>
  <c r="AM9" i="102" s="1"/>
  <c r="AI9" i="102"/>
  <c r="AP9" i="102"/>
  <c r="V52" i="102"/>
  <c r="K57" i="102" s="1"/>
  <c r="M57" i="102" s="1"/>
  <c r="V64" i="102"/>
  <c r="V67" i="102" s="1"/>
  <c r="Y67" i="102" s="1"/>
  <c r="V15" i="101"/>
  <c r="T23" i="101"/>
  <c r="V66" i="108"/>
  <c r="V25" i="80"/>
  <c r="T28" i="80"/>
  <c r="AI9" i="103"/>
  <c r="AK9" i="103"/>
  <c r="V25" i="103"/>
  <c r="I31" i="103" s="1"/>
  <c r="K31" i="103" s="1"/>
  <c r="AN11" i="108"/>
  <c r="AQ11" i="108" s="1"/>
  <c r="W11" i="108" s="1"/>
  <c r="AQ9" i="109"/>
  <c r="W9" i="109" s="1"/>
  <c r="AN10" i="84"/>
  <c r="AI10" i="84"/>
  <c r="AP10" i="84"/>
  <c r="AK10" i="84"/>
  <c r="AL10" i="84" s="1"/>
  <c r="AM10" i="84" s="1"/>
  <c r="V64" i="84"/>
  <c r="V67" i="84" s="1"/>
  <c r="V28" i="86"/>
  <c r="AK19" i="86"/>
  <c r="AL19" i="86" s="1"/>
  <c r="W19" i="86"/>
  <c r="AI19" i="86"/>
  <c r="J12" i="111"/>
  <c r="P12" i="111" s="1"/>
  <c r="J28" i="81"/>
  <c r="AM14" i="99"/>
  <c r="AK14" i="99"/>
  <c r="W14" i="99"/>
  <c r="W28" i="99" s="1"/>
  <c r="J34" i="99" s="1"/>
  <c r="L34" i="99" s="1"/>
  <c r="AJ14" i="99"/>
  <c r="AI14" i="99"/>
  <c r="V28" i="99"/>
  <c r="I34" i="99" s="1"/>
  <c r="K34" i="99" s="1"/>
  <c r="AI12" i="105"/>
  <c r="AJ12" i="105"/>
  <c r="AK12" i="105"/>
  <c r="AM12" i="105"/>
  <c r="W12" i="105"/>
  <c r="W28" i="105" s="1"/>
  <c r="J34" i="105" s="1"/>
  <c r="L34" i="105" s="1"/>
  <c r="V28" i="105"/>
  <c r="I34" i="105" s="1"/>
  <c r="K34" i="105" s="1"/>
  <c r="K28" i="81"/>
  <c r="I11" i="42"/>
  <c r="L11" i="42" s="1"/>
  <c r="I13" i="111"/>
  <c r="O13" i="111" s="1"/>
  <c r="K57" i="84"/>
  <c r="AN11" i="109"/>
  <c r="AP11" i="109"/>
  <c r="AL11" i="109"/>
  <c r="AQ11" i="84"/>
  <c r="W11" i="84" s="1"/>
  <c r="AK10" i="100"/>
  <c r="AI10" i="100"/>
  <c r="AN10" i="100"/>
  <c r="V21" i="100"/>
  <c r="I28" i="100" s="1"/>
  <c r="K28" i="100" s="1"/>
  <c r="AK11" i="107"/>
  <c r="AL11" i="107" s="1"/>
  <c r="AI11" i="107"/>
  <c r="W11" i="107"/>
  <c r="W23" i="107" s="1"/>
  <c r="L28" i="107" s="1"/>
  <c r="N28" i="107" s="1"/>
  <c r="V23" i="107"/>
  <c r="K28" i="107" s="1"/>
  <c r="M28" i="107" s="1"/>
  <c r="AQ19" i="103"/>
  <c r="AQ12" i="103"/>
  <c r="AN15" i="108"/>
  <c r="AP15" i="108"/>
  <c r="AL15" i="108"/>
  <c r="W65" i="102"/>
  <c r="X65" i="102" s="1"/>
  <c r="AI11" i="106"/>
  <c r="W11" i="106"/>
  <c r="W21" i="106" s="1"/>
  <c r="J28" i="106" s="1"/>
  <c r="L28" i="106" s="1"/>
  <c r="AK11" i="106"/>
  <c r="AL11" i="106" s="1"/>
  <c r="V21" i="106"/>
  <c r="I28" i="106" s="1"/>
  <c r="K28" i="106" s="1"/>
  <c r="W28" i="86"/>
  <c r="T25" i="85" l="1"/>
  <c r="V9" i="85"/>
  <c r="T65" i="108"/>
  <c r="T67" i="108" s="1"/>
  <c r="V20" i="108"/>
  <c r="V52" i="108" s="1"/>
  <c r="K57" i="108" s="1"/>
  <c r="M57" i="108" s="1"/>
  <c r="AQ15" i="108"/>
  <c r="W15" i="108" s="1"/>
  <c r="AQ10" i="84"/>
  <c r="W10" i="84" s="1"/>
  <c r="W64" i="84" s="1"/>
  <c r="X64" i="84" s="1"/>
  <c r="AQ9" i="102"/>
  <c r="W9" i="102" s="1"/>
  <c r="AQ11" i="109"/>
  <c r="W11" i="109" s="1"/>
  <c r="W25" i="109" s="1"/>
  <c r="J31" i="109" s="1"/>
  <c r="L31" i="109" s="1"/>
  <c r="AJ25" i="80"/>
  <c r="AI25" i="80"/>
  <c r="AK25" i="80"/>
  <c r="AM25" i="80"/>
  <c r="W25" i="80"/>
  <c r="W28" i="80" s="1"/>
  <c r="V28" i="80"/>
  <c r="AI15" i="101"/>
  <c r="AK15" i="101"/>
  <c r="AL15" i="101" s="1"/>
  <c r="W15" i="101"/>
  <c r="W23" i="101" s="1"/>
  <c r="L28" i="101" s="1"/>
  <c r="N28" i="101" s="1"/>
  <c r="V23" i="101"/>
  <c r="K28" i="101" s="1"/>
  <c r="M28" i="101" s="1"/>
  <c r="I33" i="86"/>
  <c r="I15" i="111"/>
  <c r="O15" i="111" s="1"/>
  <c r="AP9" i="103"/>
  <c r="AN9" i="103"/>
  <c r="AL9" i="103"/>
  <c r="AM9" i="103" s="1"/>
  <c r="W66" i="108"/>
  <c r="X66" i="108" s="1"/>
  <c r="J11" i="42"/>
  <c r="M11" i="42" s="1"/>
  <c r="L28" i="81"/>
  <c r="J15" i="111"/>
  <c r="P15" i="111" s="1"/>
  <c r="J33" i="86"/>
  <c r="AN12" i="105"/>
  <c r="AN28" i="105" s="1"/>
  <c r="Y67" i="84"/>
  <c r="AL10" i="100"/>
  <c r="AM10" i="100" s="1"/>
  <c r="AP10" i="100"/>
  <c r="AQ10" i="100" s="1"/>
  <c r="W10" i="100" s="1"/>
  <c r="W21" i="100" s="1"/>
  <c r="J28" i="100" s="1"/>
  <c r="L28" i="100" s="1"/>
  <c r="W66" i="84"/>
  <c r="W52" i="84"/>
  <c r="M57" i="84"/>
  <c r="I13" i="42"/>
  <c r="L13" i="42" s="1"/>
  <c r="AN14" i="99"/>
  <c r="AN28" i="99" s="1"/>
  <c r="V65" i="108" l="1"/>
  <c r="V67" i="108" s="1"/>
  <c r="Y67" i="108" s="1"/>
  <c r="AK20" i="108"/>
  <c r="AI9" i="85"/>
  <c r="AK9" i="85"/>
  <c r="V25" i="85"/>
  <c r="AI20" i="108"/>
  <c r="AN25" i="80"/>
  <c r="AN28" i="80" s="1"/>
  <c r="W64" i="102"/>
  <c r="W52" i="102"/>
  <c r="L57" i="102" s="1"/>
  <c r="N57" i="102" s="1"/>
  <c r="AQ9" i="103"/>
  <c r="W9" i="103" s="1"/>
  <c r="W25" i="103" s="1"/>
  <c r="J31" i="103" s="1"/>
  <c r="L31" i="103" s="1"/>
  <c r="AL20" i="108"/>
  <c r="AM20" i="108" s="1"/>
  <c r="AP20" i="108"/>
  <c r="AN20" i="108"/>
  <c r="I10" i="111"/>
  <c r="I34" i="80"/>
  <c r="J10" i="111"/>
  <c r="J34" i="80"/>
  <c r="K33" i="86"/>
  <c r="I15" i="42"/>
  <c r="L15" i="42" s="1"/>
  <c r="X66" i="84"/>
  <c r="W67" i="84"/>
  <c r="J13" i="111"/>
  <c r="P13" i="111" s="1"/>
  <c r="L57" i="84"/>
  <c r="J15" i="42"/>
  <c r="M15" i="42" s="1"/>
  <c r="L33" i="86"/>
  <c r="AL9" i="85" l="1"/>
  <c r="AM9" i="85" s="1"/>
  <c r="AP9" i="85"/>
  <c r="AN9" i="85"/>
  <c r="AQ9" i="85" s="1"/>
  <c r="W9" i="85" s="1"/>
  <c r="W25" i="85" s="1"/>
  <c r="AQ20" i="108"/>
  <c r="W20" i="108" s="1"/>
  <c r="W52" i="108" s="1"/>
  <c r="L57" i="108" s="1"/>
  <c r="N57" i="108" s="1"/>
  <c r="I31" i="85"/>
  <c r="I14" i="111"/>
  <c r="O14" i="111" s="1"/>
  <c r="U12" i="111" s="1"/>
  <c r="X64" i="102"/>
  <c r="W67" i="102"/>
  <c r="J16" i="111"/>
  <c r="P10" i="111"/>
  <c r="K34" i="80"/>
  <c r="I10" i="42"/>
  <c r="O10" i="111"/>
  <c r="I16" i="111"/>
  <c r="J10" i="42"/>
  <c r="L34" i="80"/>
  <c r="J14" i="111"/>
  <c r="P14" i="111" s="1"/>
  <c r="V12" i="111" s="1"/>
  <c r="J31" i="85"/>
  <c r="Z67" i="84"/>
  <c r="X67" i="84"/>
  <c r="J13" i="42"/>
  <c r="M13" i="42" s="1"/>
  <c r="N57" i="84"/>
  <c r="W65" i="108" l="1"/>
  <c r="I14" i="42"/>
  <c r="L14" i="42" s="1"/>
  <c r="K31" i="85"/>
  <c r="X67" i="102"/>
  <c r="Z67" i="102"/>
  <c r="O16" i="111"/>
  <c r="U10" i="111"/>
  <c r="U16" i="111" s="1"/>
  <c r="X65" i="108"/>
  <c r="W67" i="108"/>
  <c r="V10" i="111"/>
  <c r="V16" i="111" s="1"/>
  <c r="P16" i="111"/>
  <c r="L10" i="42"/>
  <c r="L16" i="42" s="1"/>
  <c r="I16" i="42"/>
  <c r="J16" i="42"/>
  <c r="M10" i="42"/>
  <c r="M16" i="42" s="1"/>
  <c r="J14" i="42"/>
  <c r="M14" i="42" s="1"/>
  <c r="L31" i="85"/>
  <c r="Z67" i="108" l="1"/>
  <c r="X67" i="108"/>
</calcChain>
</file>

<file path=xl/comments1.xml><?xml version="1.0" encoding="utf-8"?>
<comments xmlns="http://schemas.openxmlformats.org/spreadsheetml/2006/main">
  <authors>
    <author>Касьяненко Анастасия Юрьевна</author>
  </authors>
  <commentList>
    <comment ref="L4" authorId="0">
      <text/>
    </comment>
  </commentList>
</comments>
</file>

<file path=xl/comments10.xml><?xml version="1.0" encoding="utf-8"?>
<comments xmlns="http://schemas.openxmlformats.org/spreadsheetml/2006/main">
  <authors>
    <author>Касьяненко Анастасия Юрьевна</author>
  </authors>
  <commentList>
    <comment ref="L4" authorId="0">
      <text/>
    </comment>
  </commentList>
</comments>
</file>

<file path=xl/comments11.xml><?xml version="1.0" encoding="utf-8"?>
<comments xmlns="http://schemas.openxmlformats.org/spreadsheetml/2006/main">
  <authors>
    <author>Касьяненко Анастасия Юрьевна</author>
  </authors>
  <commentList>
    <comment ref="L4" authorId="0">
      <text/>
    </comment>
  </commentList>
</comments>
</file>

<file path=xl/comments12.xml><?xml version="1.0" encoding="utf-8"?>
<comments xmlns="http://schemas.openxmlformats.org/spreadsheetml/2006/main">
  <authors>
    <author>Касьяненко Анастасия Юрьевна</author>
  </authors>
  <commentList>
    <comment ref="L4" authorId="0">
      <text/>
    </comment>
  </commentList>
</comments>
</file>

<file path=xl/comments13.xml><?xml version="1.0" encoding="utf-8"?>
<comments xmlns="http://schemas.openxmlformats.org/spreadsheetml/2006/main">
  <authors>
    <author>Касьяненко Анастасия Юрьевна</author>
  </authors>
  <commentList>
    <comment ref="L4" authorId="0">
      <text/>
    </comment>
  </commentList>
</comments>
</file>

<file path=xl/comments14.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15.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16.xml><?xml version="1.0" encoding="utf-8"?>
<comments xmlns="http://schemas.openxmlformats.org/spreadsheetml/2006/main">
  <authors>
    <author>Касьяненко Анастасия Юрьевна</author>
  </authors>
  <commentList>
    <comment ref="L4" authorId="0">
      <text/>
    </comment>
  </commentList>
</comments>
</file>

<file path=xl/comments17.xml><?xml version="1.0" encoding="utf-8"?>
<comments xmlns="http://schemas.openxmlformats.org/spreadsheetml/2006/main">
  <authors>
    <author>Касьяненко Анастасия Юрьевна</author>
  </authors>
  <commentList>
    <comment ref="L4" authorId="0">
      <text/>
    </comment>
  </commentList>
</comments>
</file>

<file path=xl/comments18.xml><?xml version="1.0" encoding="utf-8"?>
<comments xmlns="http://schemas.openxmlformats.org/spreadsheetml/2006/main">
  <authors>
    <author>Касьяненко Анастасия Юрьевна</author>
  </authors>
  <commentList>
    <comment ref="L4" authorId="0">
      <text/>
    </comment>
  </commentList>
</comments>
</file>

<file path=xl/comments2.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3.xml><?xml version="1.0" encoding="utf-8"?>
<comments xmlns="http://schemas.openxmlformats.org/spreadsheetml/2006/main">
  <authors>
    <author>Людмила</author>
  </authors>
  <commentList>
    <comment ref="DS36" authorId="0">
      <text>
        <r>
          <rPr>
            <b/>
            <sz val="9"/>
            <color indexed="81"/>
            <rFont val="Tahoma"/>
            <family val="2"/>
            <charset val="204"/>
          </rPr>
          <t>Кристина:</t>
        </r>
        <r>
          <rPr>
            <sz val="9"/>
            <color indexed="81"/>
            <rFont val="Tahoma"/>
            <family val="2"/>
            <charset val="204"/>
          </rPr>
          <t xml:space="preserve">
Внесла сумму потраченную по 223-ФЗ с 01.01.21 по 30.09.21. Там ГПХ, налоги по ДГПХ,  Договора, транспортные расходы, в общем все, что было по 223-ФЗ</t>
        </r>
      </text>
    </comment>
  </commentList>
</comments>
</file>

<file path=xl/comments4.xml><?xml version="1.0" encoding="utf-8"?>
<comments xmlns="http://schemas.openxmlformats.org/spreadsheetml/2006/main">
  <authors>
    <author>Касьяненко Анастасия Юрьевна</author>
  </authors>
  <commentList>
    <comment ref="L4" authorId="0">
      <text/>
    </comment>
  </commentList>
</comments>
</file>

<file path=xl/comments5.xml><?xml version="1.0" encoding="utf-8"?>
<comments xmlns="http://schemas.openxmlformats.org/spreadsheetml/2006/main">
  <authors>
    <author>Касьяненко Анастасия Юрьевна</author>
  </authors>
  <commentList>
    <comment ref="L4" authorId="0">
      <text/>
    </comment>
  </commentList>
</comments>
</file>

<file path=xl/comments6.xml><?xml version="1.0" encoding="utf-8"?>
<comments xmlns="http://schemas.openxmlformats.org/spreadsheetml/2006/main">
  <authors>
    <author>Касьяненко Анастасия Юрьевна</author>
  </authors>
  <commentList>
    <comment ref="L4" authorId="0">
      <text/>
    </comment>
  </commentList>
</comments>
</file>

<file path=xl/comments7.xml><?xml version="1.0" encoding="utf-8"?>
<comments xmlns="http://schemas.openxmlformats.org/spreadsheetml/2006/main">
  <authors>
    <author>Касьяненко Анастасия Юрьевна</author>
  </authors>
  <commentList>
    <comment ref="L4" authorId="0">
      <text/>
    </comment>
  </commentList>
</comments>
</file>

<file path=xl/comments8.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comments9.xml><?xml version="1.0" encoding="utf-8"?>
<comments xmlns="http://schemas.openxmlformats.org/spreadsheetml/2006/main">
  <authors>
    <author>Касьяненко Анастасия Юрьевна</author>
  </authors>
  <commentList>
    <comment ref="L4" authorId="0">
      <text>
        <r>
          <rPr>
            <sz val="9"/>
            <color indexed="81"/>
            <rFont val="Tahoma"/>
            <family val="2"/>
            <charset val="204"/>
          </rPr>
          <t xml:space="preserve">
</t>
        </r>
      </text>
    </comment>
  </commentList>
</comments>
</file>

<file path=xl/sharedStrings.xml><?xml version="1.0" encoding="utf-8"?>
<sst xmlns="http://schemas.openxmlformats.org/spreadsheetml/2006/main" count="2159" uniqueCount="445">
  <si>
    <t>Штатная численность, шт.ед.</t>
  </si>
  <si>
    <t>Доплата за работу в ночное время</t>
  </si>
  <si>
    <t>Доплата за работу в выходные,  нерабочие праздн.дни</t>
  </si>
  <si>
    <t>Структура фонда оплаты труда в год на штатную численность, тыс.руб.</t>
  </si>
  <si>
    <t>Оплата стоимости проезда и провоза багажа к месту проведения отпуска, тыс.руб.</t>
  </si>
  <si>
    <t>количество, чел.</t>
  </si>
  <si>
    <t>стоимость, тыс.руб.</t>
  </si>
  <si>
    <t>Фонд оплаты труда с учетом коэффициента</t>
  </si>
  <si>
    <t>ВСЕГО</t>
  </si>
  <si>
    <t>Коэффициент исполнения по фонду оплаты труда в предшествующем году</t>
  </si>
  <si>
    <t>Работник</t>
  </si>
  <si>
    <t>Члены семьи работника до 12 лет</t>
  </si>
  <si>
    <t>Члены семьи работника после 12 лет</t>
  </si>
  <si>
    <t>Оплата багажа, тыс.руб.</t>
  </si>
  <si>
    <t>Директор</t>
  </si>
  <si>
    <t>Заведующий сектором</t>
  </si>
  <si>
    <t>Заведующий отделом</t>
  </si>
  <si>
    <t>Заведующий филиалом</t>
  </si>
  <si>
    <t>Библиотекарь</t>
  </si>
  <si>
    <t>Главный библиотекарь</t>
  </si>
  <si>
    <t>Редактор</t>
  </si>
  <si>
    <t xml:space="preserve">Директор </t>
  </si>
  <si>
    <t>Главный хранитель фондов</t>
  </si>
  <si>
    <t xml:space="preserve">Заведующий отделом </t>
  </si>
  <si>
    <t>Научный сотрудник</t>
  </si>
  <si>
    <t>Контролер билетов</t>
  </si>
  <si>
    <t>Смотритель музейный</t>
  </si>
  <si>
    <t>Надбавка за опыт работы</t>
  </si>
  <si>
    <t>Старший научный сотрудник</t>
  </si>
  <si>
    <t>Методист</t>
  </si>
  <si>
    <t>Хранитель фондов</t>
  </si>
  <si>
    <t>Художественный руководитель</t>
  </si>
  <si>
    <t>Режисер-постановщик</t>
  </si>
  <si>
    <t>Администратор</t>
  </si>
  <si>
    <t>Оператор пульта управления киноустановок</t>
  </si>
  <si>
    <t>Рестовратор фильмокопий</t>
  </si>
  <si>
    <t xml:space="preserve">Библиотекарь </t>
  </si>
  <si>
    <t>Библиограф</t>
  </si>
  <si>
    <t xml:space="preserve">Руководитель кружка </t>
  </si>
  <si>
    <t>Аккомпаниатор</t>
  </si>
  <si>
    <t>Балетмейстер</t>
  </si>
  <si>
    <t xml:space="preserve">Методист </t>
  </si>
  <si>
    <t>Звукорежиссер</t>
  </si>
  <si>
    <t xml:space="preserve">Звукооператор </t>
  </si>
  <si>
    <t>Режиссер</t>
  </si>
  <si>
    <t>Заведующий художественно-постановочной частью</t>
  </si>
  <si>
    <t>Заведующий звукостудийным сектором</t>
  </si>
  <si>
    <t>Заведующий костюмерной</t>
  </si>
  <si>
    <t>Главный режиссер</t>
  </si>
  <si>
    <t>Художник по свету</t>
  </si>
  <si>
    <t>Художник-декоратор</t>
  </si>
  <si>
    <t>Художник-модельер театрально костюма</t>
  </si>
  <si>
    <t>Художник-постановщик</t>
  </si>
  <si>
    <t xml:space="preserve">Концертмейстер по классу вокала </t>
  </si>
  <si>
    <t>Балетмейстер - постановщик</t>
  </si>
  <si>
    <t>Репетитор по балету</t>
  </si>
  <si>
    <t xml:space="preserve">Режиссер </t>
  </si>
  <si>
    <t>Монтировщик сцены</t>
  </si>
  <si>
    <t>Хормейстер</t>
  </si>
  <si>
    <t xml:space="preserve">Художник-постановщик </t>
  </si>
  <si>
    <t>Киномеханик</t>
  </si>
  <si>
    <t>Надбавка за квалификационную категорию: главный - 25%; ведущий - 20%; высшей категории - 15%; первой категории - 10%; второй категории - 5%.</t>
  </si>
  <si>
    <t>страх взносы</t>
  </si>
  <si>
    <t>к-т</t>
  </si>
  <si>
    <t>ФОТ всего на 1 шт ед</t>
  </si>
  <si>
    <t>Премиальный фонд (персональный и стимулирующий)</t>
  </si>
  <si>
    <t>Премиальный фонд 31,7%  (гр. 14 х 0,317%)    (гр. 14 + 0,005)</t>
  </si>
  <si>
    <t>Компенсация за неиспользованный отпуск 3%, материальная помощь 0,2% ((гр.14 + гр.15 + гр.16 + гр.17) х 3,2%)</t>
  </si>
  <si>
    <t xml:space="preserve">Должностной оклад по действующему штатному расписанию </t>
  </si>
  <si>
    <t>Итого по штатному расписанию (гр.3 * гр.4)</t>
  </si>
  <si>
    <t>Выплата за наличие ученой степени или почетного звания</t>
  </si>
  <si>
    <t>К-т</t>
  </si>
  <si>
    <t>Итого</t>
  </si>
  <si>
    <t>Всего расходов, тыс.руб.
гр.27+гр.30+гр.33+гр.34</t>
  </si>
  <si>
    <t>расходы, тыс.руб.
гр.25 * гр.26</t>
  </si>
  <si>
    <t>расходы, тыс.руб.
гр.28 * гр.29</t>
  </si>
  <si>
    <t>расходы, тыс.руб.
гр.31 * гр.32</t>
  </si>
  <si>
    <t>Наименование внутриструктурной единицы, должности (профессии)</t>
  </si>
  <si>
    <t>№ п/п</t>
  </si>
  <si>
    <t xml:space="preserve">Должностной оклад
 по действующему штатному расписанию </t>
  </si>
  <si>
    <t>Кперс.</t>
  </si>
  <si>
    <t>Сумма</t>
  </si>
  <si>
    <t>Районный коэффициент</t>
  </si>
  <si>
    <t>Северные надбавки</t>
  </si>
  <si>
    <t>Итого фонд заработной платы</t>
  </si>
  <si>
    <t xml:space="preserve">Страховые взносы </t>
  </si>
  <si>
    <t>Итого оклад+стим.+комп.выплаты+прочие надбавки</t>
  </si>
  <si>
    <t xml:space="preserve">Компенсация за неиспользованный отпуск 3%, материальная помощь 0,2% </t>
  </si>
  <si>
    <t>Итого надбавки+ПВ</t>
  </si>
  <si>
    <t>Должностной оклад на год</t>
  </si>
  <si>
    <t>Персональная надбавка за работу в МО г. Норильска</t>
  </si>
  <si>
    <t xml:space="preserve">Персональная надбавка   за работу в МО г. Норильска </t>
  </si>
  <si>
    <t>Кассир билетный</t>
  </si>
  <si>
    <t>Итого оклад+стим.+комп.выплаты+ прочие надбавки</t>
  </si>
  <si>
    <t xml:space="preserve">Кассир билетный </t>
  </si>
  <si>
    <t>Учреждение</t>
  </si>
  <si>
    <t>Исполнитель:</t>
  </si>
  <si>
    <t>ИТОГО</t>
  </si>
  <si>
    <t>шт.числ</t>
  </si>
  <si>
    <t>Итого культура</t>
  </si>
  <si>
    <t>Заведующий  сектором видеообеспечения</t>
  </si>
  <si>
    <t>Режиссер массовых представлений</t>
  </si>
  <si>
    <t>Столяр по изготовлению декораций</t>
  </si>
  <si>
    <t xml:space="preserve">Механик по ремонту и обслуживанию кинотехнологического оборудования </t>
  </si>
  <si>
    <t xml:space="preserve">Художник-декоратор </t>
  </si>
  <si>
    <t>Старший администратор</t>
  </si>
  <si>
    <t>Специалист по внедрению информационных систем</t>
  </si>
  <si>
    <t xml:space="preserve">Переплетчик </t>
  </si>
  <si>
    <t>Менеджер по культурно-массовому досугу</t>
  </si>
  <si>
    <t>Механик по обслуживанию звуковой техники</t>
  </si>
  <si>
    <t>Руководитель любительского объединения</t>
  </si>
  <si>
    <t>МБУ "МВК "Музей Норильска"</t>
  </si>
  <si>
    <t>МБУ "КК "Родина"</t>
  </si>
  <si>
    <t>МБУК "Городской центр культуры"</t>
  </si>
  <si>
    <t>МБУК "КДЦ "Юбилейный"</t>
  </si>
  <si>
    <t xml:space="preserve">МБУК "КДЦ им. В. Высоцкого" </t>
  </si>
  <si>
    <t>ПФ</t>
  </si>
  <si>
    <t>ФСС</t>
  </si>
  <si>
    <t>ФОМС</t>
  </si>
  <si>
    <t>Итого СВ</t>
  </si>
  <si>
    <t xml:space="preserve">Отклонение </t>
  </si>
  <si>
    <t>АУП</t>
  </si>
  <si>
    <t>основной</t>
  </si>
  <si>
    <t>Прочий</t>
  </si>
  <si>
    <t>клубы</t>
  </si>
  <si>
    <t>Заместитель директора</t>
  </si>
  <si>
    <t>Снежногорский филиал</t>
  </si>
  <si>
    <t xml:space="preserve">Заместитель директора </t>
  </si>
  <si>
    <t>Отклонение</t>
  </si>
  <si>
    <t xml:space="preserve">Старший администратор </t>
  </si>
  <si>
    <t>Менеджер культурно-досуговой организации</t>
  </si>
  <si>
    <t>Главный библиотекарь (Снежногорский филиал)</t>
  </si>
  <si>
    <t xml:space="preserve">Менеджер культурно-досуговой организации </t>
  </si>
  <si>
    <t xml:space="preserve">МБУ "Централизованная библиотечная система"  </t>
  </si>
  <si>
    <t xml:space="preserve">Заведующий сектором </t>
  </si>
  <si>
    <t>Расчетные значения 2019</t>
  </si>
  <si>
    <t>Машинист сцены</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</si>
  <si>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2020 год </t>
    </r>
  </si>
  <si>
    <t>Начальник отдела ЭАиП</t>
  </si>
  <si>
    <t>Шикера И.А.,тел.: 43-72-45 (доб. 2822)</t>
  </si>
  <si>
    <t>ФОТ на 01.01.2019 г.</t>
  </si>
  <si>
    <t>Расчетные значения 2020 г.</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</si>
  <si>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2020 год</t>
    </r>
  </si>
  <si>
    <t>ФОТ передаваемый в МКУ "ОК УК" (0,5 библиотекаря)</t>
  </si>
  <si>
    <t>ФОТ передаваемый в МКУ "ОК УК" (0,5-концертмейстер по вокалу, 0,5-монтировщик сцены, 0,25-руководитель кружка, 0,25-режиссер)</t>
  </si>
  <si>
    <t>Расчетные значения 2020</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</si>
  <si>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2020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</si>
  <si>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2020 год</t>
    </r>
  </si>
  <si>
    <t>Методист по составлению кинопрограмм</t>
  </si>
  <si>
    <t>Руководитель клуба по интересам</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</si>
  <si>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2020 год</t>
    </r>
  </si>
  <si>
    <t>Шикера И.А., 2822</t>
  </si>
  <si>
    <t xml:space="preserve">ФОТ передаваемый в МКУ "ОК УК" </t>
  </si>
  <si>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2021 год </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</si>
  <si>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 "МВК "Музей Норильска"</t>
    </r>
    <r>
      <rPr>
        <sz val="16"/>
        <rFont val="Times New Roman"/>
        <family val="2"/>
        <charset val="204"/>
      </rPr>
      <t xml:space="preserve"> на 2022 год </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</si>
  <si>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</si>
  <si>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МБУ "КК "Родина" на 2022 год</t>
    </r>
  </si>
  <si>
    <r>
      <t>Расчет затрат на оплату труда, страховые взносы, на оплату стоимости проезда и провоза багажа к месту использования отпуска и обратно</t>
    </r>
    <r>
      <rPr>
        <u/>
        <sz val="16"/>
        <rFont val="Times New Roman"/>
        <family val="2"/>
        <charset val="204"/>
      </rPr>
      <t xml:space="preserve"> МБУ "Централизованная библиотечная система" на 2021 год</t>
    </r>
  </si>
  <si>
    <r>
      <t>Расчет затрат на оплату труда, страховые взносы, на оплату стоимости проезда и провоза багажа к месту использования отпуска и обратно</t>
    </r>
    <r>
      <rPr>
        <u/>
        <sz val="16"/>
        <rFont val="Times New Roman"/>
        <family val="2"/>
        <charset val="204"/>
      </rPr>
      <t xml:space="preserve"> МБУ "Централизованная библиотечная система" на 2022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</si>
  <si>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2021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</si>
  <si>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rFont val="Times New Roman"/>
        <family val="2"/>
        <charset val="204"/>
      </rPr>
      <t>МБУК "Городской центр культуры" на 2022 год с учетом Снежногорского филиала</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</si>
  <si>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</si>
  <si>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"Юбилейный" на 2022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</si>
  <si>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2021 год</t>
    </r>
  </si>
  <si>
    <r>
      <t xml:space="preserve">Расчет затрат на оплату труда, страховые взносы, на оплату стоимости проезда и провоза багажа к месту использования отпуска и обратно  </t>
    </r>
    <r>
      <rPr>
        <u/>
        <sz val="16"/>
        <color indexed="8"/>
        <rFont val="Times New Roman"/>
        <family val="1"/>
        <charset val="204"/>
      </rPr>
      <t xml:space="preserve"> МБУК "КДЦ им. В. Высоцкого" на 2022 год</t>
    </r>
  </si>
  <si>
    <t>Расчетные значения на 2019 год</t>
  </si>
  <si>
    <t>И.А. Шикера</t>
  </si>
  <si>
    <t>И. А. Шикера</t>
  </si>
  <si>
    <t xml:space="preserve">Управление по делам культуры и искусства Администрации города Норильска </t>
  </si>
  <si>
    <t>Расчет затрат на оплату труда, страховые взносы, на оплату стоимости проезда и провоза багажа к месту использования отпуска и обратно на 2020 год</t>
  </si>
  <si>
    <t>СВОД КУЛЬТУРА</t>
  </si>
  <si>
    <t>213 персонал вывел на 0</t>
  </si>
  <si>
    <t>Краевые</t>
  </si>
  <si>
    <t>Персонал</t>
  </si>
  <si>
    <t>Отклонение значений УП от УК</t>
  </si>
  <si>
    <t>(подпись)</t>
  </si>
  <si>
    <t>Всего</t>
  </si>
  <si>
    <t>Наименование показателя</t>
  </si>
  <si>
    <t>Код строки</t>
  </si>
  <si>
    <t>(текущий финансовый год)</t>
  </si>
  <si>
    <t>(первый год планового периода)</t>
  </si>
  <si>
    <t>(второй год планового периода)</t>
  </si>
  <si>
    <t>в том числе:</t>
  </si>
  <si>
    <t>Дата</t>
  </si>
  <si>
    <t>1.1</t>
  </si>
  <si>
    <t>1.2</t>
  </si>
  <si>
    <t>1.3</t>
  </si>
  <si>
    <t>из них:</t>
  </si>
  <si>
    <t>доходы в виде процентов по депозитам автономных учреждений в кредитных организациях</t>
  </si>
  <si>
    <t>доходы в виде процентов по остаткам средств на счетах автономных учреждений в кредитных организациях</t>
  </si>
  <si>
    <t>х</t>
  </si>
  <si>
    <t>доходы, поступающие в порядке возмещения расходов, понесенных в связи с эксплуатацией имущества, находящегося в оперативном управлении учреждения</t>
  </si>
  <si>
    <t>Главный бухгалтер</t>
  </si>
  <si>
    <t>Исполнитель</t>
  </si>
  <si>
    <t>целевые субсидии</t>
  </si>
  <si>
    <t>Субсидии, предоставляемые в соответствии с абзацем вторым пункта 1 статьи 78.1 Бюджетного кодекса Российской Федерации (Доп.Кр 911,917)</t>
  </si>
  <si>
    <t>МП "Социальная поддержка жителей…" (доп.ФК 81000)</t>
  </si>
  <si>
    <t>Субсидии, предоставляемые в соответствии с абзацем вторым пункта 1 статьи 78.1 Бюджетного кодекса Российской Федерации. (Поддержка талантливых детей и молодёжи)</t>
  </si>
  <si>
    <t>Замена неэффективного осветительного оборудования внутреннего/наружного освещения на современное светодиодное (доп.ФК 81000)</t>
  </si>
  <si>
    <t>субсидии на осуществление капитальных вложений</t>
  </si>
  <si>
    <t>Субсидии, предоставляемые в соответствии с абзацем вторым пункта 1 статьи 78.1 Бюджетного кодекса Российской Федерации. Субсидии на увеличение стоимости основных средств</t>
  </si>
  <si>
    <t>Поступления от приносящей доход деятельности</t>
  </si>
  <si>
    <t>Безвозмездные поступления</t>
  </si>
  <si>
    <t>(расшифровка подписи)</t>
  </si>
  <si>
    <t>ПЛАН</t>
  </si>
  <si>
    <t>Коды</t>
  </si>
  <si>
    <t>Орган, осуществляющий</t>
  </si>
  <si>
    <t>по Сводному реестру</t>
  </si>
  <si>
    <t>глава по БК</t>
  </si>
  <si>
    <t>ИНН</t>
  </si>
  <si>
    <t>Единица измерения: руб.</t>
  </si>
  <si>
    <t>КПП</t>
  </si>
  <si>
    <t>по ОКЕИ</t>
  </si>
  <si>
    <t>Раздел 1. Поступления и выплаты</t>
  </si>
  <si>
    <r>
      <t>Код по бюджетной классификации Российской Федерации</t>
    </r>
    <r>
      <rPr>
        <vertAlign val="superscript"/>
        <sz val="12"/>
        <rFont val="Times New Roman"/>
        <family val="1"/>
        <charset val="204"/>
      </rPr>
      <t xml:space="preserve"> 3</t>
    </r>
  </si>
  <si>
    <t>Сумма, руб. (с точностью до двух знаков после запятой-0,00)</t>
  </si>
  <si>
    <t>на 2021 год</t>
  </si>
  <si>
    <t>на 2022 год</t>
  </si>
  <si>
    <t>текущий финансовый год</t>
  </si>
  <si>
    <t xml:space="preserve">Субсидия на финансовое обеспечение выполнения муниципального задания МП "Развитие культуры" </t>
  </si>
  <si>
    <t xml:space="preserve">Субсидия на финансовое обеспечение выполнения муниципального задания МП "Развитие туризма" </t>
  </si>
  <si>
    <r>
      <t xml:space="preserve">Остаток средств на начало текущего финансового года </t>
    </r>
    <r>
      <rPr>
        <vertAlign val="superscript"/>
        <sz val="12"/>
        <rFont val="Times New Roman"/>
        <family val="1"/>
        <charset val="204"/>
      </rPr>
      <t>4</t>
    </r>
  </si>
  <si>
    <t>0001</t>
  </si>
  <si>
    <r>
      <t xml:space="preserve">Остаток средств на конец текущего финансового года </t>
    </r>
    <r>
      <rPr>
        <vertAlign val="superscript"/>
        <sz val="12"/>
        <rFont val="Times New Roman"/>
        <family val="1"/>
        <charset val="204"/>
      </rPr>
      <t>4</t>
    </r>
  </si>
  <si>
    <t>0002</t>
  </si>
  <si>
    <t>Доходы, всего:</t>
  </si>
  <si>
    <t>1000</t>
  </si>
  <si>
    <t>в том числе:
доходы от собственности, всего</t>
  </si>
  <si>
    <t>1100</t>
  </si>
  <si>
    <t>1110</t>
  </si>
  <si>
    <t>121</t>
  </si>
  <si>
    <t>доходы от оказания услуг, работ, компенсации затрат учреждений, всего</t>
  </si>
  <si>
    <t>130</t>
  </si>
  <si>
    <t>131</t>
  </si>
  <si>
    <t>доходы от штрафов, пеней, иных сумм принудительного изъятия, всего</t>
  </si>
  <si>
    <t>безвозмездные денежные поступления, всего</t>
  </si>
  <si>
    <t>гранты</t>
  </si>
  <si>
    <t>прочие доходы, всего</t>
  </si>
  <si>
    <t>150</t>
  </si>
  <si>
    <r>
      <t xml:space="preserve">прочие поступления, всего </t>
    </r>
    <r>
      <rPr>
        <b/>
        <vertAlign val="superscript"/>
        <sz val="12"/>
        <rFont val="Times New Roman"/>
        <family val="1"/>
        <charset val="204"/>
      </rPr>
      <t>5</t>
    </r>
  </si>
  <si>
    <t>увеличение остатков денежных средств за счет возврата дебиторской задолженности прошлых лет</t>
  </si>
  <si>
    <t>510</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</si>
  <si>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</si>
  <si>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</si>
  <si>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</si>
  <si>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</si>
  <si>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</si>
  <si>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</si>
  <si>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</si>
  <si>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</si>
  <si>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социальные и иные выплаты населению, всего</t>
  </si>
  <si>
    <t>социальные выплаты гражданам, кроме публичных нормативных социальных выплат</t>
  </si>
  <si>
    <t xml:space="preserve">из них:
пособия, компенсации и иные социальные выплаты гражданам, кроме публичных нормативных обязательств
</t>
  </si>
  <si>
    <t>уплата налогов, сборов и иных платежей, всего</t>
  </si>
  <si>
    <t>из них:
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</si>
  <si>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</si>
  <si>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</si>
  <si>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</si>
  <si>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взносы в международные организации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</si>
  <si>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</si>
  <si>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</si>
  <si>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 xml:space="preserve">расходы на закупку товаров, работ, услуг, всего </t>
    </r>
    <r>
      <rPr>
        <b/>
        <vertAlign val="superscript"/>
        <sz val="12"/>
        <rFont val="Times New Roman"/>
        <family val="1"/>
        <charset val="204"/>
      </rPr>
      <t>6</t>
    </r>
  </si>
  <si>
    <t>в том числе:
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</si>
  <si>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</si>
  <si>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</si>
  <si>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</si>
  <si>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капитальные вложения в объекты муниципальной собственности, всего</t>
  </si>
  <si>
    <t xml:space="preserve">в том числе:
приобретение объектов недвижимого имущества муниципальными учреждениями
</t>
  </si>
  <si>
    <t>строительство (реконструкция) объектов недвижимого имущества муниципальными учреждениями</t>
  </si>
  <si>
    <t>Выплаты, уменьшающие доход, всего 7</t>
  </si>
  <si>
    <r>
      <t xml:space="preserve">в том числе:
налог на прибыль </t>
    </r>
    <r>
      <rPr>
        <vertAlign val="superscript"/>
        <sz val="12"/>
        <rFont val="Times New Roman"/>
        <family val="1"/>
        <charset val="204"/>
      </rPr>
      <t>7</t>
    </r>
  </si>
  <si>
    <r>
      <t xml:space="preserve">налог на добавленную стоимость </t>
    </r>
    <r>
      <rPr>
        <vertAlign val="superscript"/>
        <sz val="12"/>
        <rFont val="Times New Roman"/>
        <family val="1"/>
        <charset val="204"/>
      </rPr>
      <t>7</t>
    </r>
  </si>
  <si>
    <r>
      <t xml:space="preserve">прочие налоги, уменьшающие доход </t>
    </r>
    <r>
      <rPr>
        <vertAlign val="superscript"/>
        <sz val="12"/>
        <rFont val="Times New Roman"/>
        <family val="1"/>
        <charset val="204"/>
      </rPr>
      <t>7</t>
    </r>
  </si>
  <si>
    <r>
      <t xml:space="preserve">Прочие выплаты, всего </t>
    </r>
    <r>
      <rPr>
        <b/>
        <vertAlign val="superscript"/>
        <sz val="12"/>
        <rFont val="Times New Roman"/>
        <family val="1"/>
        <charset val="204"/>
      </rPr>
      <t>8</t>
    </r>
  </si>
  <si>
    <t>из них:
возврат в бюджет средств субсидии</t>
  </si>
  <si>
    <t>_____1_В случае утверждения закона (решения) о бюджете на текущий финансовый год и плановый период.</t>
  </si>
  <si>
    <t>_____2_Указывается дата подписания Плана, а в случае утверждения Плана уполномоченным лицом учреждения - дата утверждения Плана.</t>
  </si>
  <si>
    <t>_____3_В графе 3 отражаются:</t>
  </si>
  <si>
    <t>_____по строкам 1100 - 1900 - коды аналитической группы подвида доходов бюджетов классификации доходов бюджетов;</t>
  </si>
  <si>
    <t>_____по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</si>
  <si>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_____по строкам 2000 - 2652 - коды видов расходов бюджетов классификации расходов бюджетов;</t>
  </si>
  <si>
    <t>_____по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</si>
  <si>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_____по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</si>
  <si>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t>4. 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</si>
  <si>
    <t>5.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</si>
  <si>
    <t>6.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</si>
  <si>
    <t>7. Показатель отражается со знаком "минус".</t>
  </si>
  <si>
    <t>8. 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</si>
  <si>
    <r>
      <t>Раздел 2. Сведения по выплатам на закупки товаров, работ, услуг</t>
    </r>
    <r>
      <rPr>
        <b/>
        <vertAlign val="superscript"/>
        <sz val="8"/>
        <rFont val="Times New Roman"/>
        <family val="1"/>
        <charset val="204"/>
      </rPr>
      <t xml:space="preserve"> 9</t>
    </r>
  </si>
  <si>
    <t>№
п/п</t>
  </si>
  <si>
    <t>Коды
строк</t>
  </si>
  <si>
    <t>Год
начала закупки</t>
  </si>
  <si>
    <t>на 20</t>
  </si>
  <si>
    <t xml:space="preserve"> г.</t>
  </si>
  <si>
    <t>за пределами планового периода</t>
  </si>
  <si>
    <t>1</t>
  </si>
  <si>
    <t>2</t>
  </si>
  <si>
    <t>3</t>
  </si>
  <si>
    <t>4</t>
  </si>
  <si>
    <t>5</t>
  </si>
  <si>
    <t>6</t>
  </si>
  <si>
    <t>7</t>
  </si>
  <si>
    <t>8</t>
  </si>
  <si>
    <r>
      <t xml:space="preserve">Выплаты на закупку товаров, работ, услуг, всего </t>
    </r>
    <r>
      <rPr>
        <b/>
        <vertAlign val="superscript"/>
        <sz val="8"/>
        <rFont val="Times New Roman"/>
        <family val="1"/>
        <charset val="204"/>
      </rPr>
      <t>10</t>
    </r>
  </si>
  <si>
    <t>26000</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</si>
  <si>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11</t>
    </r>
  </si>
  <si>
    <t>26100</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</si>
  <si>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11</t>
    </r>
  </si>
  <si>
    <t>26200</t>
  </si>
  <si>
    <t>26300</t>
  </si>
  <si>
    <t>1.4</t>
  </si>
  <si>
    <t>26400</t>
  </si>
  <si>
    <t>1.4.1</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</si>
  <si>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</si>
  <si>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</si>
  <si>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</si>
  <si>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</si>
  <si>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</si>
  <si>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13</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</si>
  <si>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</si>
  <si>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</si>
  <si>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</si>
  <si>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</si>
  <si>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</si>
  <si>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</si>
  <si>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</si>
  <si>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</si>
  <si>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</si>
  <si>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14</t>
    </r>
  </si>
  <si>
    <t>26430</t>
  </si>
  <si>
    <t>1.4.4</t>
  </si>
  <si>
    <t>за счет средств обязательного медицинского страхования</t>
  </si>
  <si>
    <t>26440</t>
  </si>
  <si>
    <t>1.4.4.1</t>
  </si>
  <si>
    <t>26441</t>
  </si>
  <si>
    <t>1.4.4.2</t>
  </si>
  <si>
    <r>
      <t xml:space="preserve">в соответствии с Федеральным законом № 223-ФЗ </t>
    </r>
    <r>
      <rPr>
        <vertAlign val="superscript"/>
        <sz val="8"/>
        <rFont val="Times New Roman"/>
        <family val="1"/>
        <charset val="204"/>
      </rPr>
      <t>14</t>
    </r>
  </si>
  <si>
    <t>26442</t>
  </si>
  <si>
    <t>за счет прочих источников финансового обеспечения</t>
  </si>
  <si>
    <t>26450</t>
  </si>
  <si>
    <t>26451</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</si>
  <si>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</si>
  <si>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</si>
  <si>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15</t>
    </r>
  </si>
  <si>
    <t>26500</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</si>
  <si>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</si>
  <si>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</si>
  <si>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</si>
  <si>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</si>
  <si>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</si>
  <si>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</si>
  <si>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</si>
  <si>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(фамилия, инициалы)</t>
  </si>
  <si>
    <t>(телефон)</t>
  </si>
  <si>
    <t>"</t>
  </si>
  <si>
    <t>СОГЛАСОВАНО</t>
  </si>
  <si>
    <t>(наименование должности уполномоченного лица органа-учредителя)</t>
  </si>
  <si>
    <t>9.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</si>
  <si>
    <t>11.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</si>
  <si>
    <t>12. Указывается сумма закупок товаров, работ, услуг, осуществляемых в соответствии с Федеральным законом № 44-ФЗ и Федеральным законом № 223-ФЗ.</t>
  </si>
  <si>
    <t>13. Государственным (муниципальным) бюджетным учреждением показатель не формируется.</t>
  </si>
  <si>
    <t>14. Указывается сумма закупок товаров, работ, услуг, осуществляемых в соответствии с Федеральным законом № 44-ФЗ.</t>
  </si>
  <si>
    <t>15. 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</si>
  <si>
    <t>21</t>
  </si>
  <si>
    <t>22</t>
  </si>
  <si>
    <r>
      <t xml:space="preserve">по контрактам (договорам), заключенным </t>
    </r>
    <r>
      <rPr>
        <b/>
        <u/>
        <sz val="8"/>
        <rFont val="Times New Roman"/>
        <family val="1"/>
        <charset val="204"/>
      </rPr>
      <t>до начала</t>
    </r>
    <r>
      <rPr>
        <sz val="8"/>
        <rFont val="Times New Roman"/>
        <family val="1"/>
        <charset val="204"/>
      </rPr>
      <t xml:space="preserve">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12</t>
    </r>
  </si>
  <si>
    <r>
      <t xml:space="preserve">по контрактам (договорам), планируемым к заключению </t>
    </r>
    <r>
      <rPr>
        <b/>
        <u/>
        <sz val="8"/>
        <rFont val="Times New Roman"/>
        <family val="1"/>
        <charset val="204"/>
      </rPr>
      <t>в соответствующем финансовом году</t>
    </r>
    <r>
      <rPr>
        <sz val="8"/>
        <rFont val="Times New Roman"/>
        <family val="1"/>
        <charset val="204"/>
      </rPr>
      <t xml:space="preserve"> с учетом требований Федерального закона № 44-ФЗ и Федерального закона № 223-ФЗ </t>
    </r>
    <r>
      <rPr>
        <vertAlign val="superscript"/>
        <sz val="8"/>
        <rFont val="Times New Roman"/>
        <family val="1"/>
        <charset val="204"/>
      </rPr>
      <t>12</t>
    </r>
  </si>
  <si>
    <r>
      <t xml:space="preserve">в соответствии с Федеральным законом № 223-ФЗ </t>
    </r>
    <r>
      <rPr>
        <vertAlign val="superscript"/>
        <sz val="8"/>
        <rFont val="Times New Roman"/>
        <family val="1"/>
        <charset val="204"/>
      </rPr>
      <t>13     (Не формируем!!!)</t>
    </r>
  </si>
  <si>
    <t>функции и полномочия учредителя: Управление по делам культуры и искусства Администрации города Норильска</t>
  </si>
  <si>
    <t>первый год планового периода</t>
  </si>
  <si>
    <t>второй год планового периода</t>
  </si>
  <si>
    <t>Код бюджетной классификации РФ</t>
  </si>
  <si>
    <t>4.1</t>
  </si>
  <si>
    <t>1.3.1</t>
  </si>
  <si>
    <t>26310</t>
  </si>
  <si>
    <r>
      <t xml:space="preserve">     из них</t>
    </r>
    <r>
      <rPr>
        <vertAlign val="superscript"/>
        <sz val="8"/>
        <rFont val="Times New Roman"/>
        <family val="1"/>
        <charset val="204"/>
      </rPr>
      <t xml:space="preserve"> 10.1</t>
    </r>
    <r>
      <rPr>
        <sz val="8"/>
        <rFont val="Times New Roman"/>
        <family val="1"/>
        <charset val="204"/>
      </rPr>
      <t>:</t>
    </r>
  </si>
  <si>
    <t>26310.1</t>
  </si>
  <si>
    <t>1.3.2</t>
  </si>
  <si>
    <t xml:space="preserve">  в соответствии с Федеральным законом № 223-ФЗ</t>
  </si>
  <si>
    <t>26320</t>
  </si>
  <si>
    <r>
      <t xml:space="preserve">        из них </t>
    </r>
    <r>
      <rPr>
        <vertAlign val="superscript"/>
        <sz val="8"/>
        <rFont val="Times New Roman"/>
        <family val="1"/>
        <charset val="204"/>
      </rPr>
      <t>10.1</t>
    </r>
    <r>
      <rPr>
        <sz val="8"/>
        <rFont val="Times New Roman"/>
        <family val="1"/>
        <charset val="204"/>
      </rPr>
      <t>:</t>
    </r>
  </si>
  <si>
    <t>26421.1</t>
  </si>
  <si>
    <t>26430.1</t>
  </si>
  <si>
    <t>26451.1</t>
  </si>
  <si>
    <t>10. Плановые показатели выплат на закупку товаров, работ, услуг отраженные по соответствующим строкам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</si>
  <si>
    <t xml:space="preserve">10.1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N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N 20, ст. 2817; N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(8-17 разряды кода ассификации расходов бюджетов, при этом в рамках реализации регионального проекта в 8 - 10 разрядах могут указываться нули).".
</t>
  </si>
  <si>
    <t xml:space="preserve">из них:                                                                                                гранты, предоставляемые бюджетным учреждениям
</t>
  </si>
  <si>
    <t>гранты, предоставляемые автономным учреждениям</t>
  </si>
  <si>
    <t xml:space="preserve">    в том числе:                                                                                                                                                                                                                                                                                                            в соответствии с Федеральным законом № 44-ФЗ</t>
  </si>
  <si>
    <t>2021</t>
  </si>
  <si>
    <t>2022</t>
  </si>
  <si>
    <t>Н.Г. Агиенко</t>
  </si>
  <si>
    <t>180</t>
  </si>
  <si>
    <t>Замена неэффективного осветительного оборудования внутреннего/наружного освещения на современное светодиодное  Субсидия на иные цели (КЦСР 0440000140)</t>
  </si>
  <si>
    <t>Субсидии, предоставляемые в соответствии с абзацем вторым пункта 1 статьи 78.1 Бюджетного кодекса Российской Федерации. Субсидии на увеличение стоимости основных средств Субсидия на иные цели (КЦСР 0850000300)</t>
  </si>
  <si>
    <t>План финансово-хозяйственной деятельности на 2021 г.</t>
  </si>
  <si>
    <t>на 2023 год</t>
  </si>
  <si>
    <t>23</t>
  </si>
  <si>
    <t>Утверждаю</t>
  </si>
  <si>
    <t>(наименование должности лица, утверждающего документ)</t>
  </si>
  <si>
    <t>Субсидия на финансовое обеспечение выполнения муниципального задания МП "Развитие культуры"    (доп.ФК 70000)
КЦСР 0820000100</t>
  </si>
  <si>
    <t>Аналитический код</t>
  </si>
  <si>
    <t>120</t>
  </si>
  <si>
    <t>закупку энергетических ресурсов</t>
  </si>
  <si>
    <t>0820000100</t>
  </si>
  <si>
    <t>в том числе:                                                                                                                                                                                                 за счет субсидий, предоставляемых на финансовое обеспечение выполнения государственного (муниципального) задания</t>
  </si>
  <si>
    <t xml:space="preserve"> </t>
  </si>
  <si>
    <r>
      <t xml:space="preserve">         из них </t>
    </r>
    <r>
      <rPr>
        <vertAlign val="superscript"/>
        <sz val="8"/>
        <rFont val="Times New Roman"/>
        <family val="1"/>
        <charset val="204"/>
      </rPr>
      <t>10.1</t>
    </r>
    <r>
      <rPr>
        <sz val="8"/>
        <rFont val="Times New Roman"/>
        <family val="1"/>
        <charset val="204"/>
      </rPr>
      <t>:</t>
    </r>
  </si>
  <si>
    <t>26501</t>
  </si>
  <si>
    <t>26502</t>
  </si>
  <si>
    <t>26503</t>
  </si>
  <si>
    <t>2023</t>
  </si>
  <si>
    <t xml:space="preserve">Зав. хозяйством </t>
  </si>
  <si>
    <t>46-30-27</t>
  </si>
  <si>
    <t>Учреждение: МБУ ДО "Норильская детская художественная школа имени Николая Павловича Лоя"</t>
  </si>
  <si>
    <r>
      <t>(на 2021 год и плановый период 2022 и 2023 гг.)</t>
    </r>
    <r>
      <rPr>
        <b/>
        <vertAlign val="superscript"/>
        <sz val="12"/>
        <color theme="1"/>
        <rFont val="Times New Roman"/>
        <family val="1"/>
        <charset val="204"/>
      </rPr>
      <t>1</t>
    </r>
  </si>
  <si>
    <t>Согласовано в части строк: 1980; 3000; 4000</t>
  </si>
  <si>
    <t>доходы, получаемые в виде арендной  либо иной платы за передачу в возмездное пользование муниципального имущества</t>
  </si>
  <si>
    <t>субсидии на финансовое обеспечение выполнения муниципального задания</t>
  </si>
  <si>
    <t>доходы от оказания услуг, выполнения работ, в рамках установленного муниципального задания</t>
  </si>
  <si>
    <t>доходы от оказания услуг, выполнения работ, за плату сверх установленного  муниципального задания и иной приносящей доход деятельности, предусмотренной уставом учреждения</t>
  </si>
  <si>
    <t>доходы от операций с активами, всего</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</si>
  <si>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</si>
  <si>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подержки проектов в области науки, культуры и искусства</t>
  </si>
  <si>
    <t>иные выплаты населению</t>
  </si>
  <si>
    <t>гранты, предоставляемые иным некоммерческим организациям (за исключением бюджетных и автономных учреждений)</t>
  </si>
  <si>
    <t>гранты, предоставляемые другим организациям и физическим лицам</t>
  </si>
  <si>
    <t>платежи в целях обеспечения реализации соглашений с правительствами иностранных государств и международными организациями</t>
  </si>
  <si>
    <t>закупку товаров, работ, услуг в целях создания, развития, эксплуатации государственных информационных систем</t>
  </si>
  <si>
    <t xml:space="preserve">Начальник ПЭО               </t>
  </si>
  <si>
    <t>А. Ю. Касьяненко</t>
  </si>
  <si>
    <t>Агиенко К.Н.</t>
  </si>
  <si>
    <t>Поддержка талантливых детей и молодёжи                 (доп.ФК 81000)
КЦСР 0850000200</t>
  </si>
  <si>
    <t>возврат суммы излишне уплаченного налога</t>
  </si>
  <si>
    <r>
      <t>от " 30 "  декабря 2021 г.</t>
    </r>
    <r>
      <rPr>
        <vertAlign val="superscript"/>
        <sz val="12"/>
        <rFont val="Times New Roman"/>
        <family val="1"/>
        <charset val="204"/>
      </rPr>
      <t xml:space="preserve"> </t>
    </r>
  </si>
  <si>
    <t>" 12 " января 2022   г.</t>
  </si>
  <si>
    <t>И.о. директора МБУ ДО "Норильская детская художественная школа имени Николая Павловича Лоя"</t>
  </si>
  <si>
    <t>О.С. Орлова</t>
  </si>
  <si>
    <t>Соблюдение гарантий и компенсаций, связанных с переездом и оплатой стоимости проезда и провоза багажа к месту использования отпуска и обратно (Доп.Кр 911,917) Субсидия на иные цели (КЦСР 0850000600)</t>
  </si>
  <si>
    <t>Замена неэффективного осветительного оборудования внутреннего/наружного освещения на современное светодиодное  Субсидия на иные цели 
(КЦСР 0440000140)</t>
  </si>
  <si>
    <t>14</t>
  </si>
  <si>
    <t>января</t>
  </si>
  <si>
    <t>Начальник Управления по делам культуры и искусства Администрации города Норильска</t>
  </si>
  <si>
    <t>Давыдова И.А.</t>
  </si>
  <si>
    <t>И.о. директора</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</si>
</sst>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 _₽_-;\-* #,##0.00\ _₽_-;_-* &quot;-&quot;??\ _₽_-;_-@_-"/>
    <numFmt numFmtId="164" formatCode="_-* #,##0.00&quot;р.&quot;_-;\-* #,##0.00&quot;р.&quot;_-;_-* &quot;-&quot;??&quot;р.&quot;_-;_-@_-"/>
    <numFmt numFmtId="165" formatCode="_-* #,##0.00_р_._-;\-* #,##0.00_р_._-;_-* &quot;-&quot;??_р_._-;_-@_-"/>
    <numFmt numFmtId="166" formatCode="#,##0.0"/>
    <numFmt numFmtId="167" formatCode="0.000"/>
    <numFmt numFmtId="168" formatCode="0.0"/>
    <numFmt numFmtId="169" formatCode="#,##0.000"/>
    <numFmt numFmtId="170" formatCode="#,##0.00_ ;[Red]\-#,##0.00\ "/>
    <numFmt numFmtId="171" formatCode="#,##0.0_ ;[Red]\-#,##0.0\ "/>
    <numFmt numFmtId="172" formatCode="#,##0.000_ ;[Red]\-#,##0.000\ "/>
    <numFmt numFmtId="173" formatCode="_(* #,##0.00_);_(* \(#,##0.00\);_(* &quot;-&quot;??_);_(@_)"/>
    <numFmt numFmtId="174" formatCode="_(&quot;$&quot;* #,##0.00_);_(&quot;$&quot;* \(#,##0.00\);_(&quot;$&quot;* &quot;-&quot;??_);_(@_)"/>
    <numFmt numFmtId="175" formatCode="#,##0.00_ ;\-#,##0.00\ "/>
  </numFmts>
  <fonts count="75" x14ac:knownFonts="1">
    <font>
      <sz val="10"/>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indexed="8"/>
      <name val="Times New Roman"/>
      <family val="2"/>
      <charset val="204"/>
    </font>
    <font>
      <sz val="14"/>
      <color indexed="8"/>
      <name val="Times New Roman"/>
      <family val="2"/>
      <charset val="204"/>
    </font>
    <font>
      <sz val="10"/>
      <name val="Arial Cyr"/>
      <charset val="204"/>
    </font>
    <font>
      <sz val="10"/>
      <name val="Times New Roman"/>
      <family val="1"/>
      <charset val="204"/>
    </font>
    <font>
      <b/>
      <sz val="10"/>
      <name val="Times New Roman"/>
      <family val="1"/>
      <charset val="204"/>
    </font>
    <font>
      <sz val="10"/>
      <color indexed="8"/>
      <name val="Times New Roman"/>
      <family val="1"/>
      <charset val="204"/>
    </font>
    <font>
      <sz val="13"/>
      <name val="Times New Roman"/>
      <family val="1"/>
    </font>
    <font>
      <sz val="16"/>
      <color indexed="8"/>
      <name val="Times New Roman"/>
      <family val="2"/>
      <charset val="204"/>
    </font>
    <font>
      <u/>
      <sz val="16"/>
      <color indexed="8"/>
      <name val="Times New Roman"/>
      <family val="1"/>
      <charset val="204"/>
    </font>
    <font>
      <sz val="10"/>
      <name val="Times New Roman"/>
      <family val="2"/>
      <charset val="204"/>
    </font>
    <font>
      <sz val="11"/>
      <color indexed="8"/>
      <name val="Calibri"/>
      <family val="2"/>
      <charset val="204"/>
    </font>
    <font>
      <sz val="10"/>
      <name val="Arial"/>
      <family val="2"/>
      <charset val="204"/>
    </font>
    <font>
      <sz val="12"/>
      <name val="Times New Roman CYR"/>
      <charset val="204"/>
    </font>
    <font>
      <b/>
      <sz val="11"/>
      <color indexed="8"/>
      <name val="Times New Roman"/>
      <family val="1"/>
      <charset val="204"/>
    </font>
    <font>
      <sz val="12"/>
      <name val="Times New Roman"/>
      <family val="1"/>
    </font>
    <font>
      <sz val="9"/>
      <color indexed="81"/>
      <name val="Tahoma"/>
      <family val="2"/>
      <charset val="204"/>
    </font>
    <font>
      <sz val="13"/>
      <name val="Times New Roman"/>
      <family val="2"/>
      <charset val="204"/>
    </font>
    <font>
      <sz val="16"/>
      <name val="Times New Roman"/>
      <family val="2"/>
      <charset val="204"/>
    </font>
    <font>
      <u/>
      <sz val="16"/>
      <name val="Times New Roman"/>
      <family val="2"/>
      <charset val="204"/>
    </font>
    <font>
      <sz val="14"/>
      <name val="Times New Roman"/>
      <family val="2"/>
      <charset val="204"/>
    </font>
    <font>
      <sz val="12"/>
      <name val="Times New Roman"/>
      <family val="2"/>
      <charset val="204"/>
    </font>
    <font>
      <b/>
      <sz val="11"/>
      <name val="Times New Roman"/>
      <family val="2"/>
      <charset val="204"/>
    </font>
    <font>
      <sz val="11"/>
      <name val="Times New Roman"/>
      <family val="2"/>
      <charset val="204"/>
    </font>
    <font>
      <sz val="8"/>
      <name val="Arial Cyr"/>
    </font>
    <font>
      <b/>
      <sz val="11"/>
      <name val="Times New Roman"/>
      <family val="1"/>
      <charset val="204"/>
    </font>
    <font>
      <sz val="11"/>
      <name val="Times New Roman"/>
      <family val="1"/>
      <charset val="204"/>
    </font>
    <font>
      <sz val="12"/>
      <name val="Times New Roman"/>
      <family val="1"/>
      <charset val="204"/>
    </font>
    <font>
      <b/>
      <sz val="10"/>
      <name val="Times New Roman"/>
      <family val="2"/>
      <charset val="204"/>
    </font>
    <font>
      <b/>
      <sz val="12"/>
      <name val="Times New Roman"/>
      <family val="1"/>
      <charset val="204"/>
    </font>
    <font>
      <sz val="13"/>
      <name val="Times New Roman"/>
      <family val="1"/>
      <charset val="204"/>
    </font>
    <font>
      <sz val="10"/>
      <name val="Arial Cyr"/>
      <family val="2"/>
      <charset val="204"/>
    </font>
    <font>
      <sz val="10"/>
      <name val="Arial"/>
      <family val="2"/>
    </font>
    <font>
      <sz val="8"/>
      <name val="Times New Roman"/>
      <family val="1"/>
      <charset val="204"/>
    </font>
    <font>
      <b/>
      <vertAlign val="superscript"/>
      <sz val="12"/>
      <name val="Times New Roman"/>
      <family val="1"/>
      <charset val="204"/>
    </font>
    <font>
      <vertAlign val="superscript"/>
      <sz val="12"/>
      <name val="Times New Roman"/>
      <family val="1"/>
      <charset val="204"/>
    </font>
    <font>
      <sz val="13"/>
      <name val="Calibri"/>
      <family val="2"/>
      <charset val="204"/>
    </font>
    <font>
      <b/>
      <i/>
      <sz val="12"/>
      <name val="Times New Roman"/>
      <family val="1"/>
      <charset val="204"/>
    </font>
    <font>
      <u/>
      <sz val="10"/>
      <name val="Arial"/>
      <family val="2"/>
      <charset val="204"/>
    </font>
    <font>
      <b/>
      <sz val="8"/>
      <name val="Times New Roman"/>
      <family val="1"/>
      <charset val="204"/>
    </font>
    <font>
      <b/>
      <vertAlign val="superscript"/>
      <sz val="8"/>
      <name val="Times New Roman"/>
      <family val="1"/>
      <charset val="204"/>
    </font>
    <font>
      <vertAlign val="superscript"/>
      <sz val="8"/>
      <name val="Times New Roman"/>
      <family val="1"/>
      <charset val="204"/>
    </font>
    <font>
      <sz val="6"/>
      <name val="Times New Roman"/>
      <family val="1"/>
      <charset val="204"/>
    </font>
    <font>
      <sz val="7"/>
      <name val="Times New Roman"/>
      <family val="1"/>
      <charset val="204"/>
    </font>
    <font>
      <b/>
      <u/>
      <sz val="8"/>
      <name val="Times New Roman"/>
      <family val="1"/>
      <charset val="204"/>
    </font>
    <font>
      <sz val="10"/>
      <name val="Arial"/>
      <family val="2"/>
      <charset val="204"/>
    </font>
    <font>
      <sz val="10"/>
      <color theme="1"/>
      <name val="Times New Roman"/>
      <family val="2"/>
      <charset val="204"/>
    </font>
    <font>
      <sz val="11"/>
      <color theme="1"/>
      <name val="Calibri"/>
      <family val="2"/>
      <charset val="204"/>
      <scheme val="minor"/>
    </font>
    <font>
      <sz val="11"/>
      <color theme="1"/>
      <name val="Calibri"/>
      <family val="2"/>
      <scheme val="minor"/>
    </font>
    <font>
      <u/>
      <sz val="10"/>
      <color theme="10"/>
      <name val="Arial"/>
      <family val="2"/>
      <charset val="204"/>
    </font>
    <font>
      <sz val="11"/>
      <color theme="1"/>
      <name val="Times New Roman"/>
      <family val="1"/>
      <charset val="204"/>
    </font>
    <font>
      <b/>
      <sz val="11"/>
      <color theme="1"/>
      <name val="Times New Roman"/>
      <family val="1"/>
      <charset val="204"/>
    </font>
    <font>
      <sz val="16"/>
      <color theme="1"/>
      <name val="Times New Roman"/>
      <family val="1"/>
      <charset val="204"/>
    </font>
    <font>
      <sz val="10"/>
      <color theme="0"/>
      <name val="Times New Roman"/>
      <family val="2"/>
      <charset val="204"/>
    </font>
    <font>
      <sz val="10"/>
      <color theme="1"/>
      <name val="Times New Roman"/>
      <family val="1"/>
      <charset val="204"/>
    </font>
    <font>
      <sz val="10"/>
      <color rgb="FFC00000"/>
      <name val="Times New Roman"/>
      <family val="2"/>
      <charset val="204"/>
    </font>
    <font>
      <sz val="12"/>
      <color theme="1"/>
      <name val="Times New Roman"/>
      <family val="1"/>
      <charset val="204"/>
    </font>
    <font>
      <sz val="13"/>
      <color theme="1"/>
      <name val="Times New Roman"/>
      <family val="2"/>
      <charset val="204"/>
    </font>
    <font>
      <b/>
      <sz val="10"/>
      <color theme="1"/>
      <name val="Times New Roman"/>
      <family val="1"/>
      <charset val="204"/>
    </font>
    <font>
      <sz val="11"/>
      <color rgb="FFC00000"/>
      <name val="Times New Roman"/>
      <family val="2"/>
      <charset val="204"/>
    </font>
    <font>
      <b/>
      <sz val="12"/>
      <color theme="1"/>
      <name val="Times New Roman"/>
      <family val="1"/>
      <charset val="204"/>
    </font>
    <font>
      <sz val="12"/>
      <color rgb="FFFF0000"/>
      <name val="Times New Roman"/>
      <family val="1"/>
      <charset val="204"/>
    </font>
    <font>
      <sz val="14"/>
      <color theme="1"/>
      <name val="Times New Roman"/>
      <family val="1"/>
      <charset val="204"/>
    </font>
    <font>
      <sz val="12"/>
      <color theme="0"/>
      <name val="Times New Roman"/>
      <family val="1"/>
      <charset val="204"/>
    </font>
    <font>
      <b/>
      <sz val="14"/>
      <color theme="1"/>
      <name val="Times New Roman"/>
      <family val="1"/>
      <charset val="204"/>
    </font>
    <font>
      <i/>
      <sz val="11"/>
      <color rgb="FF7F7F7F"/>
      <name val="Calibri"/>
      <family val="2"/>
      <charset val="204"/>
    </font>
    <font>
      <sz val="11"/>
      <color rgb="FF000000"/>
      <name val="Calibri"/>
      <family val="2"/>
      <charset val="1"/>
    </font>
    <font>
      <u/>
      <sz val="12"/>
      <name val="Times New Roman"/>
      <family val="1"/>
      <charset val="204"/>
    </font>
    <font>
      <b/>
      <vertAlign val="superscript"/>
      <sz val="12"/>
      <color theme="1"/>
      <name val="Times New Roman"/>
      <family val="1"/>
      <charset val="204"/>
    </font>
    <font>
      <b/>
      <sz val="9"/>
      <color indexed="81"/>
      <name val="Tahoma"/>
      <family val="2"/>
      <charset val="204"/>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00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right/>
      <top style="mediumDashDot">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DashDot">
        <color indexed="64"/>
      </left>
      <right/>
      <top/>
      <bottom style="thin">
        <color indexed="64"/>
      </bottom>
      <diagonal/>
    </border>
    <border>
      <left/>
      <right style="mediumDashDot">
        <color indexed="64"/>
      </right>
      <top/>
      <bottom style="thin">
        <color indexed="64"/>
      </bottom>
      <diagonal/>
    </border>
    <border>
      <left style="mediumDashDot">
        <color indexed="64"/>
      </left>
      <right/>
      <top style="thin">
        <color indexed="64"/>
      </top>
      <bottom/>
      <diagonal/>
    </border>
    <border>
      <left/>
      <right style="mediumDashDot">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25">
    <xf numFmtId="0" fontId="0" fillId="0" borderId="0"/>
    <xf numFmtId="0" fontId="16" fillId="0" borderId="0"/>
    <xf numFmtId="0" fontId="54" fillId="0" borderId="0" applyNumberFormat="0" applyFill="0" applyBorder="0" applyAlignment="0" applyProtection="0"/>
    <xf numFmtId="164" fontId="8" fillId="0" borderId="0" applyFont="0" applyFill="0" applyBorder="0" applyAlignment="0" applyProtection="0"/>
    <xf numFmtId="164" fontId="16" fillId="0" borderId="0" applyFont="0" applyFill="0" applyBorder="0" applyAlignment="0" applyProtection="0"/>
    <xf numFmtId="174" fontId="17" fillId="0" borderId="0" applyFont="0" applyFill="0" applyBorder="0" applyAlignment="0" applyProtection="0"/>
    <xf numFmtId="0" fontId="53" fillId="0" borderId="0"/>
    <xf numFmtId="0" fontId="1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0" fillId="0" borderId="0"/>
    <xf numFmtId="0" fontId="52" fillId="0" borderId="0"/>
    <xf numFmtId="0" fontId="52" fillId="0" borderId="0"/>
    <xf numFmtId="0" fontId="8" fillId="0" borderId="0"/>
    <xf numFmtId="0" fontId="18" fillId="0" borderId="0"/>
    <xf numFmtId="0" fontId="36" fillId="0" borderId="0"/>
    <xf numFmtId="0" fontId="8" fillId="0" borderId="0"/>
    <xf numFmtId="0" fontId="18" fillId="0" borderId="0"/>
    <xf numFmtId="0" fontId="8" fillId="0" borderId="0"/>
    <xf numFmtId="0" fontId="8" fillId="0" borderId="0"/>
    <xf numFmtId="0" fontId="17" fillId="0" borderId="0"/>
    <xf numFmtId="0" fontId="52" fillId="0" borderId="0"/>
    <xf numFmtId="0" fontId="51" fillId="0" borderId="0"/>
    <xf numFmtId="0" fontId="52" fillId="0" borderId="0"/>
    <xf numFmtId="0" fontId="52" fillId="0" borderId="0"/>
    <xf numFmtId="0" fontId="52" fillId="0" borderId="0"/>
    <xf numFmtId="0" fontId="8" fillId="0" borderId="0"/>
    <xf numFmtId="0" fontId="17" fillId="0" borderId="0"/>
    <xf numFmtId="0" fontId="51" fillId="0" borderId="0"/>
    <xf numFmtId="0" fontId="17" fillId="0" borderId="0"/>
    <xf numFmtId="0" fontId="51" fillId="0" borderId="0"/>
    <xf numFmtId="0" fontId="6" fillId="0" borderId="0"/>
    <xf numFmtId="0" fontId="52" fillId="0" borderId="0"/>
    <xf numFmtId="0" fontId="37" fillId="0" borderId="0"/>
    <xf numFmtId="0" fontId="8" fillId="0" borderId="0"/>
    <xf numFmtId="0" fontId="52" fillId="0" borderId="0"/>
    <xf numFmtId="0" fontId="53" fillId="0" borderId="0"/>
    <xf numFmtId="0" fontId="17" fillId="0" borderId="0"/>
    <xf numFmtId="0" fontId="52" fillId="0" borderId="0"/>
    <xf numFmtId="0" fontId="17" fillId="0" borderId="0"/>
    <xf numFmtId="0" fontId="52" fillId="0" borderId="0"/>
    <xf numFmtId="0" fontId="16" fillId="0" borderId="0"/>
    <xf numFmtId="0" fontId="53" fillId="0" borderId="0"/>
    <xf numFmtId="0" fontId="17" fillId="0" borderId="0"/>
    <xf numFmtId="0" fontId="17"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8" fillId="0" borderId="0"/>
    <xf numFmtId="0" fontId="8" fillId="0" borderId="0"/>
    <xf numFmtId="9" fontId="17" fillId="0" borderId="0" applyFont="0" applyFill="0" applyBorder="0" applyAlignment="0" applyProtection="0"/>
    <xf numFmtId="9" fontId="17"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0" fontId="17" fillId="0" borderId="0" applyFont="0" applyFill="0" applyBorder="0" applyAlignment="0" applyProtection="0"/>
    <xf numFmtId="173" fontId="17" fillId="0" borderId="0" applyFont="0" applyFill="0" applyBorder="0" applyAlignment="0" applyProtection="0"/>
    <xf numFmtId="165" fontId="8" fillId="0" borderId="0" applyFont="0" applyFill="0" applyBorder="0" applyAlignment="0" applyProtection="0"/>
    <xf numFmtId="165" fontId="6" fillId="0" borderId="0" applyFont="0" applyFill="0" applyBorder="0" applyAlignment="0" applyProtection="0"/>
    <xf numFmtId="43"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73" fontId="17" fillId="0" borderId="0" applyFont="0" applyFill="0" applyBorder="0" applyAlignment="0" applyProtection="0"/>
    <xf numFmtId="165" fontId="52" fillId="0" borderId="0" applyFont="0" applyFill="0" applyBorder="0" applyAlignment="0" applyProtection="0"/>
    <xf numFmtId="165" fontId="17"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165" fontId="52" fillId="0" borderId="0" applyFont="0" applyFill="0" applyBorder="0" applyAlignment="0" applyProtection="0"/>
    <xf numFmtId="0" fontId="5" fillId="0" borderId="0"/>
    <xf numFmtId="0" fontId="5" fillId="0" borderId="0"/>
    <xf numFmtId="0" fontId="5" fillId="0" borderId="0"/>
    <xf numFmtId="0" fontId="5" fillId="0" borderId="0"/>
    <xf numFmtId="0" fontId="16" fillId="0" borderId="0"/>
    <xf numFmtId="0" fontId="16" fillId="0" borderId="0"/>
    <xf numFmtId="0" fontId="5" fillId="0" borderId="0"/>
    <xf numFmtId="0" fontId="5" fillId="0" borderId="0"/>
    <xf numFmtId="0" fontId="5" fillId="0" borderId="0"/>
    <xf numFmtId="0" fontId="70" fillId="0" borderId="0" applyBorder="0" applyProtection="0"/>
    <xf numFmtId="0" fontId="71" fillId="0" borderId="0"/>
    <xf numFmtId="165" fontId="17" fillId="0" borderId="0" applyFont="0" applyFill="0" applyBorder="0" applyAlignment="0" applyProtection="0"/>
    <xf numFmtId="0" fontId="5" fillId="0" borderId="0"/>
    <xf numFmtId="0" fontId="4" fillId="0" borderId="0"/>
    <xf numFmtId="0" fontId="4" fillId="0" borderId="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5" fontId="17" fillId="0" borderId="0" applyFont="0" applyFill="0" applyBorder="0" applyAlignment="0" applyProtection="0"/>
    <xf numFmtId="0" fontId="1" fillId="0" borderId="0"/>
  </cellStyleXfs>
  <cellXfs count="700">
    <xf numFmtId="0" fontId="0" fillId="0" borderId="0" xfId="0"/>
    <xf numFmtId="0" fontId="23" fillId="0" borderId="0" xfId="0" applyFont="1" applyFill="1" applyBorder="1" applyAlignment="1">
      <alignment horizontal="center" vertical="center"/>
    </xf>
    <xf numFmtId="4" fontId="23" fillId="0" borderId="0" xfId="0" applyNumberFormat="1" applyFont="1" applyFill="1" applyBorder="1" applyAlignment="1">
      <alignment horizontal="left" vertical="center" wrapText="1"/>
    </xf>
    <xf numFmtId="4" fontId="23" fillId="0" borderId="0" xfId="0" applyNumberFormat="1" applyFont="1" applyFill="1" applyBorder="1" applyAlignment="1">
      <alignment horizontal="right" vertical="center" wrapText="1"/>
    </xf>
    <xf numFmtId="4" fontId="23" fillId="0" borderId="0" xfId="0" applyNumberFormat="1" applyFont="1" applyFill="1" applyBorder="1" applyAlignment="1">
      <alignment horizontal="center" vertical="center" wrapText="1"/>
    </xf>
    <xf numFmtId="171" fontId="23" fillId="0" borderId="0" xfId="0" applyNumberFormat="1" applyFont="1" applyFill="1" applyBorder="1" applyAlignment="1">
      <alignment vertical="center" wrapText="1"/>
    </xf>
    <xf numFmtId="4" fontId="23" fillId="0" borderId="0" xfId="0" applyNumberFormat="1" applyFont="1" applyFill="1" applyBorder="1" applyAlignment="1">
      <alignment horizontal="left" vertical="center"/>
    </xf>
    <xf numFmtId="0" fontId="55" fillId="0" borderId="0" xfId="40" applyFont="1"/>
    <xf numFmtId="2" fontId="55" fillId="2" borderId="1" xfId="40" applyNumberFormat="1" applyFont="1" applyFill="1" applyBorder="1" applyAlignment="1">
      <alignment horizontal="center" vertical="center" wrapText="1"/>
    </xf>
    <xf numFmtId="4" fontId="55" fillId="2" borderId="1" xfId="40" applyNumberFormat="1" applyFont="1" applyFill="1" applyBorder="1" applyAlignment="1">
      <alignment horizontal="center" vertical="center" wrapText="1"/>
    </xf>
    <xf numFmtId="171" fontId="55" fillId="2" borderId="1" xfId="40" applyNumberFormat="1" applyFont="1" applyFill="1" applyBorder="1" applyAlignment="1">
      <alignment horizontal="center" vertical="center"/>
    </xf>
    <xf numFmtId="4" fontId="55" fillId="0" borderId="0" xfId="40" applyNumberFormat="1" applyFont="1"/>
    <xf numFmtId="4" fontId="55" fillId="2" borderId="0" xfId="40" applyNumberFormat="1" applyFont="1" applyFill="1"/>
    <xf numFmtId="0" fontId="55" fillId="2" borderId="0" xfId="40" applyFont="1" applyFill="1"/>
    <xf numFmtId="0" fontId="56" fillId="0" borderId="1" xfId="40" applyFont="1" applyBorder="1" applyAlignment="1">
      <alignment horizontal="center" vertical="center"/>
    </xf>
    <xf numFmtId="0" fontId="56" fillId="2" borderId="1" xfId="40" applyFont="1" applyFill="1" applyBorder="1" applyAlignment="1">
      <alignment horizontal="center" vertical="center"/>
    </xf>
    <xf numFmtId="0" fontId="56" fillId="3" borderId="1" xfId="40" applyFont="1" applyFill="1" applyBorder="1" applyAlignment="1">
      <alignment horizontal="center" vertical="center" wrapText="1"/>
    </xf>
    <xf numFmtId="4" fontId="56" fillId="3" borderId="1" xfId="40" applyNumberFormat="1" applyFont="1" applyFill="1" applyBorder="1" applyAlignment="1">
      <alignment horizontal="center"/>
    </xf>
    <xf numFmtId="171" fontId="56" fillId="3" borderId="1" xfId="40" applyNumberFormat="1" applyFont="1" applyFill="1" applyBorder="1" applyAlignment="1">
      <alignment horizontal="center"/>
    </xf>
    <xf numFmtId="0" fontId="56" fillId="0" borderId="1" xfId="40" applyFont="1" applyBorder="1" applyAlignment="1">
      <alignment horizontal="center" vertical="center"/>
    </xf>
    <xf numFmtId="0" fontId="57" fillId="0" borderId="0" xfId="40" applyFont="1"/>
    <xf numFmtId="0" fontId="56" fillId="0" borderId="1" xfId="40" applyFont="1" applyBorder="1" applyAlignment="1">
      <alignment horizontal="center" vertical="center"/>
    </xf>
    <xf numFmtId="0" fontId="15" fillId="2" borderId="0" xfId="0" applyFont="1" applyFill="1" applyAlignment="1">
      <alignment vertical="center" wrapText="1"/>
    </xf>
    <xf numFmtId="0" fontId="15" fillId="2" borderId="1" xfId="0" applyFont="1" applyFill="1" applyBorder="1" applyAlignment="1">
      <alignment horizontal="center" vertical="center" wrapText="1"/>
    </xf>
    <xf numFmtId="168" fontId="15" fillId="2" borderId="1" xfId="0" applyNumberFormat="1" applyFont="1" applyFill="1" applyBorder="1" applyAlignment="1">
      <alignment horizontal="center" vertical="center" wrapText="1"/>
    </xf>
    <xf numFmtId="166" fontId="27" fillId="2" borderId="1" xfId="36" applyNumberFormat="1" applyFont="1" applyFill="1" applyBorder="1" applyAlignment="1">
      <alignment horizontal="center" vertical="center" wrapText="1"/>
    </xf>
    <xf numFmtId="4" fontId="27" fillId="2" borderId="0" xfId="36" applyNumberFormat="1" applyFont="1" applyFill="1" applyBorder="1" applyAlignment="1">
      <alignment vertical="center" wrapText="1"/>
    </xf>
    <xf numFmtId="4" fontId="28" fillId="2" borderId="0" xfId="0" applyNumberFormat="1" applyFont="1" applyFill="1" applyBorder="1" applyAlignment="1">
      <alignment horizontal="center" vertical="center" wrapText="1"/>
    </xf>
    <xf numFmtId="0" fontId="27" fillId="2" borderId="1" xfId="0" applyFont="1" applyFill="1" applyBorder="1" applyAlignment="1">
      <alignment horizontal="center" vertical="center" wrapText="1"/>
    </xf>
    <xf numFmtId="171" fontId="28" fillId="2" borderId="1" xfId="0" applyNumberFormat="1" applyFont="1" applyFill="1" applyBorder="1" applyAlignment="1">
      <alignment horizontal="center" vertical="center" wrapText="1"/>
    </xf>
    <xf numFmtId="4" fontId="23" fillId="2" borderId="0" xfId="0" applyNumberFormat="1" applyFont="1" applyFill="1" applyBorder="1" applyAlignment="1">
      <alignment horizontal="left" vertical="center"/>
    </xf>
    <xf numFmtId="4" fontId="26" fillId="2" borderId="0" xfId="0" applyNumberFormat="1" applyFont="1" applyFill="1" applyBorder="1" applyAlignment="1">
      <alignment horizontal="left" vertical="center"/>
    </xf>
    <xf numFmtId="4" fontId="26" fillId="2" borderId="0"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166" fontId="15" fillId="2" borderId="0" xfId="0" applyNumberFormat="1" applyFont="1" applyFill="1" applyAlignment="1">
      <alignment vertical="center" wrapText="1"/>
    </xf>
    <xf numFmtId="0" fontId="23" fillId="2" borderId="0" xfId="0" applyFont="1" applyFill="1" applyAlignment="1">
      <alignment horizontal="center" vertical="center" wrapText="1"/>
    </xf>
    <xf numFmtId="166" fontId="25" fillId="2" borderId="0" xfId="0" applyNumberFormat="1" applyFont="1" applyFill="1" applyAlignment="1">
      <alignment vertical="center" wrapText="1"/>
    </xf>
    <xf numFmtId="0" fontId="25" fillId="2" borderId="0" xfId="0" applyFont="1" applyFill="1" applyAlignment="1">
      <alignment horizontal="center" vertical="center" wrapText="1"/>
    </xf>
    <xf numFmtId="0" fontId="58" fillId="2" borderId="0" xfId="0" applyFont="1" applyFill="1" applyAlignment="1">
      <alignment vertical="center" wrapText="1"/>
    </xf>
    <xf numFmtId="4" fontId="15" fillId="2" borderId="0" xfId="0" applyNumberFormat="1" applyFont="1" applyFill="1" applyAlignment="1">
      <alignment vertical="center" wrapText="1"/>
    </xf>
    <xf numFmtId="0" fontId="15" fillId="2" borderId="1" xfId="0" applyFont="1" applyFill="1" applyBorder="1" applyAlignment="1">
      <alignment horizontal="center" vertical="center" wrapText="1"/>
    </xf>
    <xf numFmtId="0" fontId="15" fillId="2" borderId="1" xfId="36" applyFont="1" applyFill="1" applyBorder="1" applyAlignment="1">
      <alignment horizontal="center" vertical="center" textRotation="90" wrapText="1"/>
    </xf>
    <xf numFmtId="0" fontId="15" fillId="2" borderId="1" xfId="0" applyFont="1" applyFill="1" applyBorder="1" applyAlignment="1">
      <alignment horizontal="center" vertical="center" textRotation="90" wrapText="1"/>
    </xf>
    <xf numFmtId="0" fontId="15" fillId="2" borderId="0" xfId="21" applyFont="1" applyFill="1" applyAlignment="1">
      <alignment horizontal="center" vertical="center" wrapText="1"/>
    </xf>
    <xf numFmtId="0" fontId="15" fillId="2" borderId="1" xfId="73" applyFont="1" applyFill="1" applyBorder="1" applyAlignment="1">
      <alignment horizontal="left" vertical="center" wrapText="1"/>
    </xf>
    <xf numFmtId="167" fontId="15" fillId="2" borderId="1" xfId="73" applyNumberFormat="1" applyFont="1" applyFill="1" applyBorder="1" applyAlignment="1">
      <alignment horizontal="center" vertical="center"/>
    </xf>
    <xf numFmtId="4" fontId="15" fillId="2" borderId="1" xfId="73" applyNumberFormat="1" applyFont="1" applyFill="1" applyBorder="1" applyAlignment="1">
      <alignment horizontal="center" vertical="center"/>
    </xf>
    <xf numFmtId="168" fontId="15" fillId="2" borderId="1" xfId="73" applyNumberFormat="1" applyFont="1" applyFill="1" applyBorder="1" applyAlignment="1">
      <alignment horizontal="center" vertical="center"/>
    </xf>
    <xf numFmtId="4" fontId="15" fillId="2" borderId="1" xfId="0" applyNumberFormat="1" applyFont="1" applyFill="1" applyBorder="1" applyAlignment="1">
      <alignment horizontal="center" vertical="center" wrapText="1"/>
    </xf>
    <xf numFmtId="166" fontId="15" fillId="2" borderId="1" xfId="0" applyNumberFormat="1" applyFont="1" applyFill="1" applyBorder="1" applyAlignment="1">
      <alignment horizontal="center" vertical="center" wrapText="1"/>
    </xf>
    <xf numFmtId="166" fontId="28" fillId="2" borderId="0" xfId="21" applyNumberFormat="1" applyFont="1" applyFill="1" applyAlignment="1">
      <alignment vertical="center" wrapText="1"/>
    </xf>
    <xf numFmtId="167" fontId="15" fillId="2" borderId="0" xfId="0" applyNumberFormat="1" applyFont="1" applyFill="1" applyAlignment="1">
      <alignment vertical="center" wrapText="1"/>
    </xf>
    <xf numFmtId="0" fontId="15" fillId="2" borderId="1" xfId="0" applyFont="1" applyFill="1" applyBorder="1" applyAlignment="1">
      <alignment horizontal="left" vertical="center" wrapText="1"/>
    </xf>
    <xf numFmtId="167" fontId="15" fillId="2" borderId="1" xfId="0" applyNumberFormat="1" applyFont="1" applyFill="1" applyBorder="1" applyAlignment="1">
      <alignment horizontal="center" vertical="center" wrapText="1"/>
    </xf>
    <xf numFmtId="1" fontId="15" fillId="2" borderId="1" xfId="0" applyNumberFormat="1" applyFont="1" applyFill="1" applyBorder="1" applyAlignment="1">
      <alignment horizontal="center" vertical="center" wrapText="1"/>
    </xf>
    <xf numFmtId="0" fontId="15" fillId="2" borderId="1" xfId="0" applyFont="1" applyFill="1" applyBorder="1" applyAlignment="1">
      <alignment horizontal="left" vertical="center"/>
    </xf>
    <xf numFmtId="3" fontId="15" fillId="2" borderId="1" xfId="73" applyNumberFormat="1" applyFont="1" applyFill="1" applyBorder="1" applyAlignment="1">
      <alignment horizontal="center" vertical="center"/>
    </xf>
    <xf numFmtId="1" fontId="15" fillId="2" borderId="1" xfId="73" applyNumberFormat="1" applyFont="1" applyFill="1" applyBorder="1" applyAlignment="1">
      <alignment horizontal="center" vertical="center"/>
    </xf>
    <xf numFmtId="3" fontId="15" fillId="2" borderId="1" xfId="0" applyNumberFormat="1" applyFont="1" applyFill="1" applyBorder="1" applyAlignment="1">
      <alignment horizontal="center" vertical="center" wrapText="1"/>
    </xf>
    <xf numFmtId="4" fontId="27" fillId="2" borderId="1" xfId="36" applyNumberFormat="1" applyFont="1" applyFill="1" applyBorder="1" applyAlignment="1">
      <alignment horizontal="center" vertical="center" wrapText="1"/>
    </xf>
    <xf numFmtId="166" fontId="27" fillId="2" borderId="0" xfId="0" applyNumberFormat="1" applyFont="1" applyFill="1" applyAlignment="1">
      <alignment horizontal="center" vertical="center" wrapText="1"/>
    </xf>
    <xf numFmtId="165" fontId="27" fillId="2" borderId="0" xfId="0" applyNumberFormat="1" applyFont="1" applyFill="1" applyAlignment="1">
      <alignment horizontal="center" vertical="center" wrapText="1"/>
    </xf>
    <xf numFmtId="0" fontId="27" fillId="2" borderId="0" xfId="0" applyFont="1" applyFill="1" applyAlignment="1">
      <alignment horizontal="center" vertical="center" wrapText="1"/>
    </xf>
    <xf numFmtId="0" fontId="27" fillId="2" borderId="0" xfId="0" applyFont="1" applyFill="1" applyBorder="1" applyAlignment="1">
      <alignment horizontal="center" vertical="top"/>
    </xf>
    <xf numFmtId="0" fontId="27" fillId="2" borderId="0" xfId="0" applyFont="1" applyFill="1" applyBorder="1"/>
    <xf numFmtId="4" fontId="27" fillId="2" borderId="0" xfId="0" applyNumberFormat="1" applyFont="1" applyFill="1" applyBorder="1"/>
    <xf numFmtId="169" fontId="15" fillId="2" borderId="0" xfId="0" applyNumberFormat="1" applyFont="1" applyFill="1" applyAlignment="1">
      <alignment vertical="center" wrapText="1"/>
    </xf>
    <xf numFmtId="166" fontId="27" fillId="2" borderId="0" xfId="0" applyNumberFormat="1" applyFont="1" applyFill="1" applyAlignment="1">
      <alignment vertical="center" wrapText="1"/>
    </xf>
    <xf numFmtId="0" fontId="27" fillId="2" borderId="0" xfId="0" applyFont="1" applyFill="1" applyBorder="1" applyAlignment="1">
      <alignment vertical="top"/>
    </xf>
    <xf numFmtId="166" fontId="27" fillId="2" borderId="0" xfId="0" applyNumberFormat="1" applyFont="1" applyFill="1" applyBorder="1"/>
    <xf numFmtId="0" fontId="28" fillId="2" borderId="0" xfId="0" applyFont="1" applyFill="1" applyBorder="1" applyAlignment="1">
      <alignment horizontal="center" vertical="center" wrapText="1"/>
    </xf>
    <xf numFmtId="4" fontId="28" fillId="2" borderId="0" xfId="0" applyNumberFormat="1" applyFont="1" applyFill="1" applyBorder="1" applyAlignment="1">
      <alignment horizontal="left" vertical="center" wrapText="1"/>
    </xf>
    <xf numFmtId="171" fontId="28" fillId="2" borderId="0" xfId="0" applyNumberFormat="1" applyFont="1" applyFill="1" applyBorder="1" applyAlignment="1">
      <alignment horizontal="right" vertical="center" wrapText="1"/>
    </xf>
    <xf numFmtId="171" fontId="28" fillId="2" borderId="0" xfId="0" applyNumberFormat="1" applyFont="1" applyFill="1" applyBorder="1" applyAlignment="1">
      <alignment vertical="center" wrapText="1"/>
    </xf>
    <xf numFmtId="170" fontId="28" fillId="2" borderId="0" xfId="0" applyNumberFormat="1" applyFont="1" applyFill="1" applyBorder="1" applyAlignment="1">
      <alignment horizontal="center" vertical="center" wrapText="1"/>
    </xf>
    <xf numFmtId="0" fontId="28" fillId="2" borderId="0" xfId="0" applyFont="1" applyFill="1" applyAlignment="1">
      <alignment horizontal="center" vertical="center" wrapText="1"/>
    </xf>
    <xf numFmtId="4" fontId="28" fillId="2" borderId="0" xfId="0" applyNumberFormat="1" applyFont="1" applyFill="1" applyAlignment="1">
      <alignment horizontal="center" vertical="center" wrapText="1"/>
    </xf>
    <xf numFmtId="4" fontId="28" fillId="2" borderId="0" xfId="0" applyNumberFormat="1" applyFont="1" applyFill="1" applyBorder="1" applyAlignment="1">
      <alignment horizontal="right" vertical="center" wrapText="1"/>
    </xf>
    <xf numFmtId="0" fontId="27" fillId="2" borderId="1" xfId="0" applyFont="1" applyFill="1" applyBorder="1" applyAlignment="1">
      <alignment horizontal="center" vertical="center" wrapText="1"/>
    </xf>
    <xf numFmtId="0" fontId="27" fillId="2" borderId="0" xfId="0" applyFont="1" applyFill="1" applyBorder="1" applyAlignment="1">
      <alignment horizontal="center" vertical="center" wrapText="1"/>
    </xf>
    <xf numFmtId="171" fontId="28" fillId="2" borderId="0" xfId="0" applyNumberFormat="1" applyFont="1" applyFill="1" applyBorder="1" applyAlignment="1">
      <alignment horizontal="center" vertical="center" wrapText="1"/>
    </xf>
    <xf numFmtId="0" fontId="23" fillId="2" borderId="0" xfId="0" applyFont="1" applyFill="1" applyBorder="1" applyAlignment="1">
      <alignment horizontal="center" vertical="center" wrapText="1"/>
    </xf>
    <xf numFmtId="0" fontId="23" fillId="2" borderId="0" xfId="0" applyFont="1" applyFill="1" applyBorder="1" applyAlignment="1">
      <alignment horizontal="center" vertical="center"/>
    </xf>
    <xf numFmtId="4" fontId="23" fillId="2" borderId="0" xfId="0" applyNumberFormat="1" applyFont="1" applyFill="1" applyBorder="1" applyAlignment="1">
      <alignment horizontal="left" vertical="center" wrapText="1"/>
    </xf>
    <xf numFmtId="4" fontId="23" fillId="2" borderId="0" xfId="0" applyNumberFormat="1" applyFont="1" applyFill="1" applyBorder="1" applyAlignment="1">
      <alignment horizontal="right" vertical="center" wrapText="1"/>
    </xf>
    <xf numFmtId="4" fontId="23" fillId="2" borderId="0" xfId="0" applyNumberFormat="1" applyFont="1" applyFill="1" applyBorder="1" applyAlignment="1">
      <alignment horizontal="center" vertical="center" wrapText="1"/>
    </xf>
    <xf numFmtId="171" fontId="23" fillId="2" borderId="0" xfId="0" applyNumberFormat="1" applyFont="1" applyFill="1" applyBorder="1" applyAlignment="1">
      <alignment vertical="center" wrapText="1"/>
    </xf>
    <xf numFmtId="170" fontId="23" fillId="2" borderId="0" xfId="0" applyNumberFormat="1" applyFont="1" applyFill="1" applyBorder="1" applyAlignment="1">
      <alignment horizontal="center" vertical="center" wrapText="1"/>
    </xf>
    <xf numFmtId="4" fontId="23" fillId="2" borderId="0" xfId="0" applyNumberFormat="1" applyFont="1" applyFill="1" applyAlignment="1">
      <alignment horizontal="center" vertical="center" wrapText="1"/>
    </xf>
    <xf numFmtId="0" fontId="26" fillId="2" borderId="0" xfId="0" applyFont="1" applyFill="1" applyBorder="1" applyAlignment="1">
      <alignment horizontal="left" vertical="center"/>
    </xf>
    <xf numFmtId="4" fontId="27" fillId="2" borderId="0" xfId="0" applyNumberFormat="1" applyFont="1" applyFill="1" applyBorder="1" applyAlignment="1">
      <alignment horizontal="center" vertical="center" wrapText="1"/>
    </xf>
    <xf numFmtId="170" fontId="27"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169" fontId="26" fillId="2" borderId="0"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166" fontId="0" fillId="2" borderId="1" xfId="0" applyNumberFormat="1" applyFill="1" applyBorder="1" applyAlignment="1">
      <alignment horizontal="right" vertical="center" wrapText="1"/>
    </xf>
    <xf numFmtId="166" fontId="11" fillId="2" borderId="1" xfId="0" applyNumberFormat="1" applyFont="1" applyFill="1" applyBorder="1" applyAlignment="1">
      <alignment horizontal="right" vertical="center" wrapText="1"/>
    </xf>
    <xf numFmtId="166" fontId="19" fillId="2" borderId="1"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0" fillId="2" borderId="0" xfId="0" applyFill="1" applyAlignment="1">
      <alignment horizontal="right" vertical="center" wrapText="1"/>
    </xf>
    <xf numFmtId="0" fontId="7" fillId="2" borderId="0" xfId="0" applyFont="1" applyFill="1" applyAlignment="1">
      <alignment horizontal="center" vertical="center" wrapText="1"/>
    </xf>
    <xf numFmtId="0" fontId="58" fillId="2" borderId="0" xfId="0" applyFont="1" applyFill="1" applyAlignment="1">
      <alignment horizontal="right" vertical="center" wrapText="1"/>
    </xf>
    <xf numFmtId="0" fontId="0" fillId="2" borderId="1" xfId="0" applyFill="1" applyBorder="1" applyAlignment="1">
      <alignment horizontal="center" vertical="center" wrapText="1"/>
    </xf>
    <xf numFmtId="0" fontId="59" fillId="2" borderId="1" xfId="36" applyFont="1" applyFill="1" applyBorder="1" applyAlignment="1">
      <alignment horizontal="center" vertical="center" textRotation="90" wrapText="1"/>
    </xf>
    <xf numFmtId="0" fontId="0" fillId="2" borderId="1" xfId="0" applyFill="1" applyBorder="1" applyAlignment="1">
      <alignment horizontal="center" vertical="center" textRotation="90" wrapText="1"/>
    </xf>
    <xf numFmtId="0" fontId="9" fillId="2" borderId="1" xfId="73" applyFont="1" applyFill="1" applyBorder="1" applyAlignment="1">
      <alignment vertical="center" wrapText="1"/>
    </xf>
    <xf numFmtId="169" fontId="9" fillId="2" borderId="1" xfId="0" applyNumberFormat="1" applyFont="1" applyFill="1" applyBorder="1" applyAlignment="1">
      <alignment vertical="center"/>
    </xf>
    <xf numFmtId="4" fontId="9" fillId="2" borderId="1" xfId="73" applyNumberFormat="1" applyFont="1" applyFill="1" applyBorder="1" applyAlignment="1">
      <alignment vertical="center"/>
    </xf>
    <xf numFmtId="166" fontId="9" fillId="2" borderId="1" xfId="73" applyNumberFormat="1" applyFont="1" applyFill="1" applyBorder="1" applyAlignment="1">
      <alignment vertical="center"/>
    </xf>
    <xf numFmtId="166" fontId="0" fillId="2" borderId="1" xfId="0" applyNumberFormat="1" applyFill="1" applyBorder="1" applyAlignment="1">
      <alignment vertical="center" wrapText="1"/>
    </xf>
    <xf numFmtId="4" fontId="0" fillId="2" borderId="1" xfId="0" applyNumberFormat="1" applyFill="1" applyBorder="1" applyAlignment="1">
      <alignment horizontal="right" vertical="center" wrapText="1"/>
    </xf>
    <xf numFmtId="168" fontId="0" fillId="2" borderId="1" xfId="0" applyNumberFormat="1" applyFill="1" applyBorder="1" applyAlignment="1">
      <alignment horizontal="center" vertical="center" wrapText="1"/>
    </xf>
    <xf numFmtId="4" fontId="0" fillId="2" borderId="1" xfId="0" applyNumberFormat="1" applyFill="1" applyBorder="1" applyAlignment="1">
      <alignment horizontal="center" vertical="center" wrapText="1"/>
    </xf>
    <xf numFmtId="166" fontId="0" fillId="2" borderId="0" xfId="0" applyNumberFormat="1" applyFill="1" applyAlignment="1">
      <alignment vertical="center" wrapText="1"/>
    </xf>
    <xf numFmtId="167" fontId="0" fillId="2" borderId="0" xfId="0" applyNumberFormat="1" applyFill="1" applyAlignment="1">
      <alignment vertical="center" wrapText="1"/>
    </xf>
    <xf numFmtId="166" fontId="31" fillId="2" borderId="0" xfId="21" applyNumberFormat="1" applyFont="1" applyFill="1" applyAlignment="1">
      <alignment vertical="center" wrapText="1"/>
    </xf>
    <xf numFmtId="0" fontId="9" fillId="2" borderId="1" xfId="0" applyFont="1" applyFill="1" applyBorder="1" applyAlignment="1">
      <alignment wrapText="1"/>
    </xf>
    <xf numFmtId="0" fontId="11" fillId="2" borderId="1" xfId="0" applyFont="1" applyFill="1" applyBorder="1" applyAlignment="1">
      <alignment horizontal="center" vertical="center" wrapText="1"/>
    </xf>
    <xf numFmtId="4" fontId="0" fillId="2" borderId="1" xfId="0" applyNumberFormat="1" applyFill="1" applyBorder="1" applyAlignment="1">
      <alignment vertical="center" wrapText="1"/>
    </xf>
    <xf numFmtId="1" fontId="11" fillId="2" borderId="1" xfId="0" applyNumberFormat="1" applyFont="1" applyFill="1" applyBorder="1" applyAlignment="1">
      <alignment horizontal="center" vertical="center" wrapText="1"/>
    </xf>
    <xf numFmtId="3" fontId="9" fillId="2" borderId="1" xfId="0" applyNumberFormat="1" applyFont="1" applyFill="1" applyBorder="1" applyAlignment="1">
      <alignment horizontal="left" wrapText="1"/>
    </xf>
    <xf numFmtId="3" fontId="11" fillId="2" borderId="1" xfId="0" applyNumberFormat="1" applyFont="1" applyFill="1" applyBorder="1" applyAlignment="1">
      <alignment horizontal="center" vertical="center" wrapText="1"/>
    </xf>
    <xf numFmtId="4" fontId="11" fillId="2" borderId="1" xfId="0" applyNumberFormat="1" applyFont="1" applyFill="1" applyBorder="1" applyAlignment="1">
      <alignment vertical="center" wrapText="1"/>
    </xf>
    <xf numFmtId="166" fontId="11" fillId="2" borderId="1" xfId="0" applyNumberFormat="1" applyFont="1" applyFill="1" applyBorder="1" applyAlignment="1">
      <alignment vertical="center" wrapText="1"/>
    </xf>
    <xf numFmtId="166" fontId="11" fillId="2" borderId="1" xfId="0" applyNumberFormat="1" applyFont="1" applyFill="1" applyBorder="1" applyAlignment="1">
      <alignment horizontal="center" vertical="center" wrapText="1"/>
    </xf>
    <xf numFmtId="0" fontId="11" fillId="2" borderId="0" xfId="0" applyFont="1" applyFill="1" applyAlignment="1">
      <alignment horizontal="center" vertical="center" wrapText="1"/>
    </xf>
    <xf numFmtId="1" fontId="0" fillId="2" borderId="1" xfId="0" applyNumberFormat="1" applyFill="1" applyBorder="1" applyAlignment="1">
      <alignment horizontal="center" vertical="center" wrapText="1"/>
    </xf>
    <xf numFmtId="1" fontId="9" fillId="2" borderId="1" xfId="73" applyNumberFormat="1" applyFont="1" applyFill="1" applyBorder="1" applyAlignment="1">
      <alignment horizontal="center" vertical="center"/>
    </xf>
    <xf numFmtId="0" fontId="9" fillId="2" borderId="1" xfId="0" applyFont="1" applyFill="1" applyBorder="1" applyAlignment="1">
      <alignment horizontal="left" wrapText="1"/>
    </xf>
    <xf numFmtId="0" fontId="60" fillId="2" borderId="0" xfId="0" applyFont="1" applyFill="1" applyAlignment="1">
      <alignment vertical="center" wrapText="1"/>
    </xf>
    <xf numFmtId="4" fontId="0" fillId="2" borderId="0" xfId="0" applyNumberFormat="1" applyFill="1" applyAlignment="1">
      <alignment vertical="center" wrapText="1"/>
    </xf>
    <xf numFmtId="4" fontId="0" fillId="2" borderId="2" xfId="0" applyNumberFormat="1" applyFill="1" applyBorder="1" applyAlignment="1">
      <alignment vertical="center" wrapText="1"/>
    </xf>
    <xf numFmtId="4" fontId="0" fillId="2" borderId="0" xfId="0" applyNumberFormat="1" applyFill="1" applyBorder="1" applyAlignment="1">
      <alignment vertical="center" wrapText="1"/>
    </xf>
    <xf numFmtId="167" fontId="27" fillId="2" borderId="0" xfId="0" applyNumberFormat="1" applyFont="1" applyFill="1" applyAlignment="1">
      <alignment horizontal="center" vertical="center" wrapText="1"/>
    </xf>
    <xf numFmtId="2" fontId="27" fillId="2" borderId="0" xfId="0" applyNumberFormat="1" applyFont="1" applyFill="1" applyAlignment="1">
      <alignment horizontal="center" vertical="center" wrapText="1"/>
    </xf>
    <xf numFmtId="0" fontId="55" fillId="2" borderId="0" xfId="0" applyFont="1" applyFill="1" applyBorder="1" applyAlignment="1">
      <alignment horizontal="center" vertical="center" wrapText="1"/>
    </xf>
    <xf numFmtId="4" fontId="55" fillId="2" borderId="0" xfId="0" applyNumberFormat="1" applyFont="1" applyFill="1" applyBorder="1" applyAlignment="1">
      <alignment horizontal="left" vertical="center" wrapText="1"/>
    </xf>
    <xf numFmtId="171" fontId="55" fillId="2" borderId="0" xfId="0" applyNumberFormat="1" applyFont="1" applyFill="1" applyBorder="1" applyAlignment="1">
      <alignment horizontal="right" vertical="center" wrapText="1"/>
    </xf>
    <xf numFmtId="171" fontId="55" fillId="2" borderId="0" xfId="0" applyNumberFormat="1" applyFont="1" applyFill="1" applyBorder="1" applyAlignment="1">
      <alignment vertical="center" wrapText="1"/>
    </xf>
    <xf numFmtId="4" fontId="55" fillId="2" borderId="0" xfId="0" applyNumberFormat="1" applyFont="1" applyFill="1" applyBorder="1" applyAlignment="1">
      <alignment horizontal="center" vertical="center" wrapText="1"/>
    </xf>
    <xf numFmtId="170" fontId="55" fillId="2" borderId="0" xfId="0" applyNumberFormat="1" applyFont="1" applyFill="1" applyBorder="1" applyAlignment="1">
      <alignment horizontal="center" vertical="center" wrapText="1"/>
    </xf>
    <xf numFmtId="4" fontId="55" fillId="2" borderId="0" xfId="0" applyNumberFormat="1" applyFont="1" applyFill="1" applyAlignment="1">
      <alignment horizontal="center" vertical="center" wrapText="1"/>
    </xf>
    <xf numFmtId="0" fontId="55" fillId="2" borderId="0" xfId="0" applyFont="1" applyFill="1" applyAlignment="1">
      <alignment horizontal="center" vertical="center" wrapText="1"/>
    </xf>
    <xf numFmtId="4" fontId="55" fillId="2" borderId="0" xfId="0" applyNumberFormat="1" applyFont="1" applyFill="1" applyBorder="1" applyAlignment="1">
      <alignment horizontal="right" vertical="center" wrapText="1"/>
    </xf>
    <xf numFmtId="0" fontId="61" fillId="2" borderId="0" xfId="0" applyFont="1" applyFill="1" applyBorder="1" applyAlignment="1">
      <alignment horizontal="left" vertical="center"/>
    </xf>
    <xf numFmtId="4" fontId="61" fillId="2" borderId="0" xfId="0" applyNumberFormat="1" applyFont="1" applyFill="1" applyBorder="1" applyAlignment="1">
      <alignment horizontal="left" vertical="center"/>
    </xf>
    <xf numFmtId="4" fontId="56" fillId="2" borderId="0" xfId="0" applyNumberFormat="1" applyFont="1" applyFill="1" applyBorder="1" applyAlignment="1">
      <alignment horizontal="center" vertical="center" wrapText="1"/>
    </xf>
    <xf numFmtId="170" fontId="56" fillId="2" borderId="0" xfId="0" applyNumberFormat="1" applyFont="1" applyFill="1" applyBorder="1" applyAlignment="1">
      <alignment horizontal="center" vertical="center" wrapText="1"/>
    </xf>
    <xf numFmtId="0" fontId="61" fillId="2" borderId="0" xfId="0" applyFont="1" applyFill="1" applyBorder="1" applyAlignment="1">
      <alignment horizontal="center" vertical="center" wrapText="1"/>
    </xf>
    <xf numFmtId="169" fontId="61" fillId="2" borderId="0" xfId="0" applyNumberFormat="1" applyFont="1" applyFill="1" applyBorder="1" applyAlignment="1">
      <alignment horizontal="center" vertical="center" wrapText="1"/>
    </xf>
    <xf numFmtId="4" fontId="61" fillId="2" borderId="0" xfId="0" applyNumberFormat="1" applyFont="1" applyFill="1" applyBorder="1" applyAlignment="1">
      <alignment horizontal="center" vertical="center" wrapText="1"/>
    </xf>
    <xf numFmtId="0" fontId="62" fillId="2" borderId="0" xfId="0" applyFont="1" applyFill="1" applyAlignment="1">
      <alignment horizontal="center" vertical="center"/>
    </xf>
    <xf numFmtId="170" fontId="0" fillId="2" borderId="0" xfId="0" applyNumberFormat="1" applyFill="1" applyAlignment="1">
      <alignment vertical="center" wrapText="1"/>
    </xf>
    <xf numFmtId="166" fontId="15" fillId="2" borderId="1" xfId="0" applyNumberFormat="1" applyFont="1" applyFill="1" applyBorder="1" applyAlignment="1">
      <alignment horizontal="right" vertical="center" wrapText="1"/>
    </xf>
    <xf numFmtId="166" fontId="15" fillId="2" borderId="1" xfId="0" applyNumberFormat="1" applyFont="1" applyFill="1" applyBorder="1" applyAlignment="1">
      <alignment vertical="center" wrapText="1"/>
    </xf>
    <xf numFmtId="166" fontId="30" fillId="2" borderId="1" xfId="0" applyNumberFormat="1" applyFont="1" applyFill="1" applyBorder="1" applyAlignment="1">
      <alignment horizontal="center" vertical="center" wrapText="1"/>
    </xf>
    <xf numFmtId="4" fontId="15" fillId="2" borderId="0" xfId="0" applyNumberFormat="1" applyFont="1" applyFill="1" applyBorder="1" applyAlignment="1">
      <alignment vertical="center" wrapText="1"/>
    </xf>
    <xf numFmtId="0" fontId="10" fillId="2" borderId="0" xfId="0" applyFont="1" applyFill="1" applyBorder="1" applyAlignment="1">
      <alignment horizontal="center" vertical="center" wrapText="1"/>
    </xf>
    <xf numFmtId="4" fontId="31" fillId="2" borderId="0" xfId="0" applyNumberFormat="1" applyFont="1" applyFill="1" applyBorder="1" applyAlignment="1">
      <alignment horizontal="center" vertical="center" wrapText="1"/>
    </xf>
    <xf numFmtId="4" fontId="32" fillId="2" borderId="0" xfId="0" applyNumberFormat="1" applyFont="1" applyFill="1" applyBorder="1" applyAlignment="1">
      <alignment horizontal="left" vertical="center"/>
    </xf>
    <xf numFmtId="4" fontId="32" fillId="2" borderId="0"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9" fillId="2" borderId="1" xfId="73" applyFont="1" applyFill="1" applyBorder="1" applyAlignment="1">
      <alignment wrapText="1"/>
    </xf>
    <xf numFmtId="2" fontId="15" fillId="2" borderId="1" xfId="0" applyNumberFormat="1" applyFont="1" applyFill="1" applyBorder="1" applyAlignment="1">
      <alignment horizontal="center" vertical="center" wrapText="1"/>
    </xf>
    <xf numFmtId="169" fontId="9" fillId="2" borderId="1" xfId="73" applyNumberFormat="1" applyFont="1" applyFill="1" applyBorder="1" applyAlignment="1">
      <alignment horizontal="right" vertical="center"/>
    </xf>
    <xf numFmtId="4" fontId="9" fillId="2" borderId="1" xfId="73" applyNumberFormat="1" applyFont="1" applyFill="1" applyBorder="1" applyAlignment="1">
      <alignment horizontal="right" vertical="center"/>
    </xf>
    <xf numFmtId="166" fontId="9" fillId="2" borderId="1" xfId="73" applyNumberFormat="1" applyFont="1" applyFill="1" applyBorder="1" applyAlignment="1">
      <alignment horizontal="right" vertical="center"/>
    </xf>
    <xf numFmtId="4" fontId="15" fillId="2" borderId="1" xfId="0" applyNumberFormat="1" applyFont="1" applyFill="1" applyBorder="1" applyAlignment="1">
      <alignment horizontal="right" vertical="center" wrapText="1"/>
    </xf>
    <xf numFmtId="2" fontId="9" fillId="2" borderId="1" xfId="73" applyNumberFormat="1" applyFont="1" applyFill="1" applyBorder="1" applyAlignment="1">
      <alignment horizontal="center" vertical="center"/>
    </xf>
    <xf numFmtId="167" fontId="9" fillId="2" borderId="1" xfId="0" applyNumberFormat="1" applyFont="1" applyFill="1" applyBorder="1" applyAlignment="1">
      <alignment horizontal="right" vertical="center" wrapText="1"/>
    </xf>
    <xf numFmtId="2" fontId="9" fillId="2" borderId="1" xfId="73" applyNumberFormat="1" applyFont="1" applyFill="1" applyBorder="1" applyAlignment="1">
      <alignment horizontal="center"/>
    </xf>
    <xf numFmtId="169" fontId="9" fillId="2" borderId="1" xfId="36" applyNumberFormat="1" applyFont="1" applyFill="1" applyBorder="1" applyAlignment="1">
      <alignment horizontal="right" vertical="center" wrapText="1"/>
    </xf>
    <xf numFmtId="0" fontId="15" fillId="2" borderId="1" xfId="73" applyFont="1" applyFill="1" applyBorder="1"/>
    <xf numFmtId="169" fontId="15" fillId="2" borderId="1" xfId="0" applyNumberFormat="1" applyFont="1" applyFill="1" applyBorder="1" applyAlignment="1">
      <alignment horizontal="right" vertical="center"/>
    </xf>
    <xf numFmtId="0" fontId="15" fillId="2" borderId="1" xfId="73" applyFont="1" applyFill="1" applyBorder="1" applyAlignment="1">
      <alignment wrapText="1"/>
    </xf>
    <xf numFmtId="2" fontId="15" fillId="2" borderId="1" xfId="73" applyNumberFormat="1" applyFont="1" applyFill="1" applyBorder="1" applyAlignment="1">
      <alignment horizontal="center" vertical="center"/>
    </xf>
    <xf numFmtId="2" fontId="15" fillId="2" borderId="1" xfId="73" applyNumberFormat="1" applyFont="1" applyFill="1" applyBorder="1" applyAlignment="1">
      <alignment horizontal="center"/>
    </xf>
    <xf numFmtId="0" fontId="9" fillId="2" borderId="1" xfId="73" applyFont="1" applyFill="1" applyBorder="1" applyAlignment="1">
      <alignment horizontal="left" vertical="center" wrapText="1"/>
    </xf>
    <xf numFmtId="167" fontId="15" fillId="2" borderId="1" xfId="0" applyNumberFormat="1" applyFont="1" applyFill="1" applyBorder="1" applyAlignment="1">
      <alignment horizontal="right" vertical="center" wrapText="1"/>
    </xf>
    <xf numFmtId="167" fontId="15" fillId="2" borderId="1" xfId="0" applyNumberFormat="1" applyFont="1" applyFill="1" applyBorder="1" applyAlignment="1">
      <alignment vertical="center" wrapText="1"/>
    </xf>
    <xf numFmtId="4" fontId="9" fillId="2" borderId="1" xfId="0" applyNumberFormat="1" applyFont="1" applyFill="1" applyBorder="1" applyAlignment="1">
      <alignment vertical="center" wrapText="1"/>
    </xf>
    <xf numFmtId="166" fontId="9" fillId="2" borderId="1" xfId="73" applyNumberFormat="1" applyFont="1" applyFill="1" applyBorder="1" applyAlignment="1">
      <alignment horizontal="right"/>
    </xf>
    <xf numFmtId="166" fontId="9" fillId="2" borderId="1" xfId="0" applyNumberFormat="1" applyFont="1" applyFill="1" applyBorder="1" applyAlignment="1">
      <alignment vertical="center" wrapText="1"/>
    </xf>
    <xf numFmtId="166" fontId="9" fillId="2" borderId="0" xfId="0" applyNumberFormat="1" applyFont="1" applyFill="1" applyAlignment="1">
      <alignment vertical="center" wrapText="1"/>
    </xf>
    <xf numFmtId="0" fontId="9" fillId="2" borderId="0" xfId="0" applyFont="1" applyFill="1" applyAlignment="1">
      <alignment vertical="center" wrapText="1"/>
    </xf>
    <xf numFmtId="2" fontId="30" fillId="2" borderId="1" xfId="0" applyNumberFormat="1" applyFont="1" applyFill="1" applyBorder="1" applyAlignment="1">
      <alignment horizontal="center" vertical="center" wrapText="1"/>
    </xf>
    <xf numFmtId="4" fontId="30" fillId="2" borderId="1" xfId="0" applyNumberFormat="1" applyFont="1" applyFill="1" applyBorder="1" applyAlignment="1">
      <alignment horizontal="center" vertical="center" wrapText="1"/>
    </xf>
    <xf numFmtId="2" fontId="15" fillId="2" borderId="0" xfId="0" applyNumberFormat="1" applyFont="1" applyFill="1" applyAlignment="1">
      <alignment vertical="center" wrapText="1"/>
    </xf>
    <xf numFmtId="0" fontId="30" fillId="2" borderId="0" xfId="0" applyFont="1" applyFill="1" applyAlignment="1">
      <alignment vertical="center" wrapText="1"/>
    </xf>
    <xf numFmtId="0" fontId="10" fillId="2" borderId="0" xfId="0" applyFont="1" applyFill="1" applyBorder="1" applyAlignment="1">
      <alignment vertical="center"/>
    </xf>
    <xf numFmtId="169" fontId="10" fillId="2" borderId="0" xfId="0" applyNumberFormat="1" applyFont="1" applyFill="1" applyBorder="1" applyAlignment="1">
      <alignment horizontal="center" vertical="center" wrapText="1"/>
    </xf>
    <xf numFmtId="0" fontId="15" fillId="2" borderId="0" xfId="0" applyFont="1" applyFill="1" applyBorder="1" applyAlignment="1">
      <alignment vertical="center" wrapText="1"/>
    </xf>
    <xf numFmtId="166" fontId="15" fillId="2" borderId="0" xfId="0" applyNumberFormat="1" applyFont="1" applyFill="1" applyBorder="1" applyAlignment="1">
      <alignment vertical="center" wrapText="1"/>
    </xf>
    <xf numFmtId="0" fontId="31" fillId="2" borderId="0" xfId="0" applyFont="1" applyFill="1" applyBorder="1" applyAlignment="1">
      <alignment horizontal="center" vertical="center" wrapText="1"/>
    </xf>
    <xf numFmtId="4" fontId="31" fillId="2" borderId="0" xfId="0" applyNumberFormat="1" applyFont="1" applyFill="1" applyBorder="1" applyAlignment="1">
      <alignment horizontal="left" vertical="center" wrapText="1"/>
    </xf>
    <xf numFmtId="4" fontId="31" fillId="2" borderId="0" xfId="0" applyNumberFormat="1" applyFont="1" applyFill="1" applyBorder="1" applyAlignment="1">
      <alignment horizontal="right" vertical="center" wrapText="1"/>
    </xf>
    <xf numFmtId="171" fontId="31" fillId="2" borderId="0" xfId="0" applyNumberFormat="1" applyFont="1" applyFill="1" applyBorder="1" applyAlignment="1">
      <alignment vertical="center" wrapText="1"/>
    </xf>
    <xf numFmtId="170" fontId="31" fillId="2" borderId="0" xfId="0" applyNumberFormat="1" applyFont="1" applyFill="1" applyBorder="1" applyAlignment="1">
      <alignment horizontal="center" vertical="center" wrapText="1"/>
    </xf>
    <xf numFmtId="49" fontId="29" fillId="2" borderId="0" xfId="0" applyNumberFormat="1" applyFont="1" applyFill="1" applyBorder="1" applyAlignment="1" applyProtection="1">
      <alignment horizontal="center" vertical="center" wrapText="1"/>
    </xf>
    <xf numFmtId="4" fontId="29" fillId="2" borderId="0" xfId="0" applyNumberFormat="1" applyFont="1" applyFill="1" applyBorder="1" applyAlignment="1" applyProtection="1">
      <alignment horizontal="right" vertical="center" wrapText="1"/>
    </xf>
    <xf numFmtId="4" fontId="31" fillId="2" borderId="0" xfId="0" applyNumberFormat="1" applyFont="1" applyFill="1" applyAlignment="1">
      <alignment horizontal="center" vertical="center" wrapText="1"/>
    </xf>
    <xf numFmtId="0" fontId="31" fillId="2" borderId="0" xfId="0" applyFont="1" applyFill="1" applyAlignment="1">
      <alignment horizontal="center" vertical="center" wrapText="1"/>
    </xf>
    <xf numFmtId="0" fontId="32" fillId="2" borderId="0" xfId="0" applyFont="1" applyFill="1" applyBorder="1" applyAlignment="1">
      <alignment horizontal="left" vertical="center"/>
    </xf>
    <xf numFmtId="4" fontId="30" fillId="2" borderId="0" xfId="0" applyNumberFormat="1" applyFont="1" applyFill="1" applyBorder="1" applyAlignment="1">
      <alignment horizontal="center" vertical="center" wrapText="1"/>
    </xf>
    <xf numFmtId="170" fontId="30" fillId="2" borderId="0" xfId="0" applyNumberFormat="1" applyFont="1" applyFill="1" applyBorder="1" applyAlignment="1">
      <alignment horizontal="center" vertical="center" wrapText="1"/>
    </xf>
    <xf numFmtId="0" fontId="32" fillId="2" borderId="0" xfId="0" applyFont="1" applyFill="1" applyBorder="1" applyAlignment="1">
      <alignment horizontal="center" vertical="center" wrapText="1"/>
    </xf>
    <xf numFmtId="169" fontId="32" fillId="2" borderId="0" xfId="0" applyNumberFormat="1" applyFont="1" applyFill="1" applyBorder="1" applyAlignment="1">
      <alignment horizontal="center" vertical="center" wrapText="1"/>
    </xf>
    <xf numFmtId="0" fontId="28" fillId="2" borderId="0" xfId="0" applyFont="1" applyFill="1" applyAlignment="1">
      <alignment vertical="center" wrapText="1"/>
    </xf>
    <xf numFmtId="0" fontId="28" fillId="2" borderId="0" xfId="21" applyFont="1" applyFill="1" applyAlignment="1">
      <alignment horizontal="center" vertical="center" wrapText="1"/>
    </xf>
    <xf numFmtId="169" fontId="15" fillId="2" borderId="1" xfId="21" applyNumberFormat="1" applyFont="1" applyFill="1" applyBorder="1" applyAlignment="1">
      <alignment horizontal="right" vertical="center"/>
    </xf>
    <xf numFmtId="4" fontId="15" fillId="2" borderId="1" xfId="73" applyNumberFormat="1" applyFont="1" applyFill="1" applyBorder="1" applyAlignment="1">
      <alignment horizontal="right" vertical="center"/>
    </xf>
    <xf numFmtId="166" fontId="15" fillId="2" borderId="1" xfId="73" applyNumberFormat="1" applyFont="1" applyFill="1" applyBorder="1" applyAlignment="1">
      <alignment horizontal="right" vertical="center"/>
    </xf>
    <xf numFmtId="166" fontId="28" fillId="2" borderId="0" xfId="0" applyNumberFormat="1" applyFont="1" applyFill="1" applyAlignment="1">
      <alignment vertical="center" wrapText="1"/>
    </xf>
    <xf numFmtId="167" fontId="28" fillId="2" borderId="0" xfId="0" applyNumberFormat="1" applyFont="1" applyFill="1" applyAlignment="1">
      <alignment vertical="center" wrapText="1"/>
    </xf>
    <xf numFmtId="0" fontId="15" fillId="2" borderId="1" xfId="21" applyFont="1" applyFill="1" applyBorder="1" applyAlignment="1">
      <alignment horizontal="left" vertical="center" wrapText="1"/>
    </xf>
    <xf numFmtId="3" fontId="15" fillId="2" borderId="1" xfId="0" applyNumberFormat="1" applyFont="1" applyFill="1" applyBorder="1" applyAlignment="1">
      <alignment horizontal="center"/>
    </xf>
    <xf numFmtId="166" fontId="15" fillId="2" borderId="0" xfId="0" applyNumberFormat="1" applyFont="1" applyFill="1" applyAlignment="1">
      <alignment horizontal="center" vertical="center" wrapText="1"/>
    </xf>
    <xf numFmtId="168" fontId="28" fillId="2" borderId="0" xfId="0" applyNumberFormat="1" applyFont="1" applyFill="1" applyAlignment="1">
      <alignment vertical="center" wrapText="1"/>
    </xf>
    <xf numFmtId="168" fontId="28" fillId="2" borderId="0" xfId="21" applyNumberFormat="1" applyFont="1" applyFill="1" applyAlignment="1">
      <alignment vertical="center" wrapText="1"/>
    </xf>
    <xf numFmtId="168" fontId="27" fillId="2" borderId="0" xfId="0" applyNumberFormat="1" applyFont="1" applyFill="1" applyAlignment="1">
      <alignment horizontal="center" vertical="center" wrapText="1"/>
    </xf>
    <xf numFmtId="3" fontId="15" fillId="2" borderId="1" xfId="21" applyNumberFormat="1" applyFont="1" applyFill="1" applyBorder="1" applyAlignment="1">
      <alignment horizontal="center" vertical="center"/>
    </xf>
    <xf numFmtId="0" fontId="10" fillId="2" borderId="1" xfId="0" applyFont="1" applyFill="1" applyBorder="1" applyAlignment="1">
      <alignment horizontal="left" vertical="center"/>
    </xf>
    <xf numFmtId="4" fontId="15" fillId="2" borderId="1" xfId="73" applyNumberFormat="1" applyFont="1" applyFill="1" applyBorder="1" applyAlignment="1">
      <alignment horizontal="right"/>
    </xf>
    <xf numFmtId="166" fontId="15" fillId="2" borderId="1" xfId="73" applyNumberFormat="1" applyFont="1" applyFill="1" applyBorder="1" applyAlignment="1">
      <alignment horizontal="right"/>
    </xf>
    <xf numFmtId="2" fontId="9" fillId="2" borderId="1" xfId="0" applyNumberFormat="1" applyFont="1" applyFill="1" applyBorder="1" applyAlignment="1">
      <alignment horizontal="right" wrapText="1"/>
    </xf>
    <xf numFmtId="0" fontId="15" fillId="2" borderId="1" xfId="0" applyFont="1" applyFill="1" applyBorder="1" applyAlignment="1">
      <alignment horizontal="left" wrapText="1"/>
    </xf>
    <xf numFmtId="2" fontId="27" fillId="2" borderId="1" xfId="0" applyNumberFormat="1" applyFont="1" applyFill="1" applyBorder="1" applyAlignment="1">
      <alignment horizontal="center" vertical="center" wrapText="1"/>
    </xf>
    <xf numFmtId="171" fontId="27" fillId="2" borderId="1" xfId="0" applyNumberFormat="1" applyFont="1" applyFill="1" applyBorder="1" applyAlignment="1">
      <alignment horizontal="center" vertical="center" wrapText="1"/>
    </xf>
    <xf numFmtId="4" fontId="15" fillId="2" borderId="0" xfId="0" applyNumberFormat="1" applyFont="1" applyFill="1" applyBorder="1" applyAlignment="1">
      <alignment horizontal="center" vertical="center" wrapText="1"/>
    </xf>
    <xf numFmtId="0" fontId="15" fillId="2" borderId="1" xfId="0" applyFont="1" applyFill="1" applyBorder="1" applyAlignment="1">
      <alignment vertical="center" wrapText="1"/>
    </xf>
    <xf numFmtId="0" fontId="33" fillId="2" borderId="1" xfId="0" applyFont="1" applyFill="1" applyBorder="1" applyAlignment="1">
      <alignment vertical="center" wrapText="1"/>
    </xf>
    <xf numFmtId="0" fontId="7" fillId="2" borderId="0" xfId="0" applyFont="1" applyFill="1" applyAlignment="1">
      <alignment vertical="center" wrapText="1"/>
    </xf>
    <xf numFmtId="0" fontId="9" fillId="2" borderId="1" xfId="0" applyFont="1" applyFill="1" applyBorder="1" applyAlignment="1">
      <alignment horizontal="left" vertical="center" wrapText="1"/>
    </xf>
    <xf numFmtId="169" fontId="9" fillId="2" borderId="1" xfId="0" applyNumberFormat="1" applyFont="1" applyFill="1" applyBorder="1" applyAlignment="1">
      <alignment horizontal="right" vertical="center"/>
    </xf>
    <xf numFmtId="0" fontId="59" fillId="2" borderId="1" xfId="0" applyFont="1" applyFill="1" applyBorder="1" applyAlignment="1">
      <alignment horizontal="center" vertical="center" wrapText="1"/>
    </xf>
    <xf numFmtId="1" fontId="59" fillId="2" borderId="1" xfId="0" applyNumberFormat="1" applyFont="1" applyFill="1" applyBorder="1" applyAlignment="1">
      <alignment horizontal="center" vertical="center" wrapText="1"/>
    </xf>
    <xf numFmtId="168" fontId="59" fillId="2" borderId="1" xfId="0" applyNumberFormat="1" applyFont="1" applyFill="1" applyBorder="1" applyAlignment="1">
      <alignment horizontal="center" vertical="center" wrapText="1"/>
    </xf>
    <xf numFmtId="4" fontId="59" fillId="2" borderId="1" xfId="0" applyNumberFormat="1" applyFont="1" applyFill="1" applyBorder="1" applyAlignment="1">
      <alignment horizontal="center" vertical="center" wrapText="1"/>
    </xf>
    <xf numFmtId="4" fontId="28" fillId="2" borderId="0" xfId="21" applyNumberFormat="1" applyFont="1" applyFill="1" applyAlignment="1">
      <alignment vertical="center" wrapText="1"/>
    </xf>
    <xf numFmtId="0" fontId="9" fillId="2" borderId="1" xfId="36" applyFont="1" applyFill="1" applyBorder="1" applyAlignment="1">
      <alignment horizontal="left" vertical="center" wrapText="1"/>
    </xf>
    <xf numFmtId="4" fontId="28" fillId="2" borderId="0" xfId="0" applyNumberFormat="1" applyFont="1" applyFill="1" applyAlignment="1">
      <alignment vertical="center" wrapText="1"/>
    </xf>
    <xf numFmtId="0" fontId="59" fillId="2" borderId="0" xfId="0" applyFont="1" applyFill="1" applyAlignment="1">
      <alignment horizontal="center" vertical="center" wrapText="1"/>
    </xf>
    <xf numFmtId="3" fontId="59" fillId="2" borderId="1" xfId="0" applyNumberFormat="1" applyFont="1" applyFill="1" applyBorder="1" applyAlignment="1">
      <alignment horizontal="center" vertical="center" wrapText="1"/>
    </xf>
    <xf numFmtId="169" fontId="59" fillId="2" borderId="1" xfId="0" applyNumberFormat="1" applyFont="1" applyFill="1" applyBorder="1" applyAlignment="1">
      <alignment horizontal="right" vertical="center" wrapText="1"/>
    </xf>
    <xf numFmtId="166" fontId="59" fillId="2" borderId="1" xfId="0" applyNumberFormat="1" applyFont="1" applyFill="1" applyBorder="1" applyAlignment="1">
      <alignment horizontal="right" vertical="center" wrapText="1"/>
    </xf>
    <xf numFmtId="4" fontId="59" fillId="2" borderId="1" xfId="0" applyNumberFormat="1" applyFont="1" applyFill="1" applyBorder="1" applyAlignment="1">
      <alignment horizontal="right" vertical="center" wrapText="1"/>
    </xf>
    <xf numFmtId="166" fontId="59" fillId="2" borderId="1" xfId="0" applyNumberFormat="1" applyFont="1" applyFill="1" applyBorder="1" applyAlignment="1">
      <alignment vertical="center" wrapText="1"/>
    </xf>
    <xf numFmtId="3" fontId="0" fillId="2" borderId="1" xfId="0" applyNumberFormat="1" applyFill="1" applyBorder="1" applyAlignment="1">
      <alignment horizontal="center" vertical="center" wrapText="1"/>
    </xf>
    <xf numFmtId="0" fontId="59" fillId="2" borderId="0" xfId="0" applyFont="1" applyFill="1" applyAlignment="1">
      <alignment vertical="center" wrapText="1"/>
    </xf>
    <xf numFmtId="4" fontId="56" fillId="2" borderId="1" xfId="0" applyNumberFormat="1" applyFont="1" applyFill="1" applyBorder="1" applyAlignment="1">
      <alignment horizontal="center" vertical="center" wrapText="1"/>
    </xf>
    <xf numFmtId="171" fontId="56" fillId="2" borderId="1" xfId="0" applyNumberFormat="1" applyFont="1" applyFill="1" applyBorder="1" applyAlignment="1">
      <alignment horizontal="center" vertical="center" wrapText="1"/>
    </xf>
    <xf numFmtId="0" fontId="63" fillId="2" borderId="0" xfId="0" applyFont="1" applyFill="1" applyBorder="1" applyAlignment="1">
      <alignment vertical="center"/>
    </xf>
    <xf numFmtId="169" fontId="63" fillId="2" borderId="0" xfId="0" applyNumberFormat="1" applyFont="1" applyFill="1" applyBorder="1" applyAlignment="1">
      <alignment vertical="center" wrapText="1"/>
    </xf>
    <xf numFmtId="0" fontId="10" fillId="2" borderId="0" xfId="0" applyFont="1" applyFill="1" applyBorder="1" applyAlignment="1">
      <alignment vertical="center" wrapText="1"/>
    </xf>
    <xf numFmtId="0" fontId="62" fillId="2" borderId="0" xfId="0" applyFont="1" applyFill="1" applyAlignment="1">
      <alignment horizontal="center" vertical="center" wrapText="1"/>
    </xf>
    <xf numFmtId="2" fontId="0" fillId="2" borderId="1" xfId="0" applyNumberFormat="1" applyFill="1" applyBorder="1" applyAlignment="1">
      <alignment horizontal="center" vertical="center" wrapText="1"/>
    </xf>
    <xf numFmtId="4" fontId="9" fillId="2" borderId="1" xfId="73" applyNumberFormat="1" applyFont="1" applyFill="1" applyBorder="1" applyAlignment="1">
      <alignment horizontal="right"/>
    </xf>
    <xf numFmtId="0" fontId="9" fillId="2" borderId="1" xfId="0" applyFont="1" applyFill="1" applyBorder="1" applyAlignment="1">
      <alignment vertical="center" wrapText="1"/>
    </xf>
    <xf numFmtId="2" fontId="59" fillId="2" borderId="1" xfId="0" applyNumberFormat="1" applyFont="1" applyFill="1" applyBorder="1" applyAlignment="1">
      <alignment horizontal="center" vertical="center" wrapText="1"/>
    </xf>
    <xf numFmtId="0" fontId="64" fillId="2" borderId="0" xfId="0" applyFont="1" applyFill="1" applyAlignment="1">
      <alignment vertical="center" wrapText="1"/>
    </xf>
    <xf numFmtId="2" fontId="9" fillId="2" borderId="1" xfId="21" applyNumberFormat="1" applyFont="1" applyFill="1" applyBorder="1" applyAlignment="1">
      <alignment horizontal="center"/>
    </xf>
    <xf numFmtId="2" fontId="63" fillId="2" borderId="1" xfId="0" applyNumberFormat="1" applyFont="1" applyFill="1" applyBorder="1" applyAlignment="1">
      <alignment horizontal="center" vertical="center" wrapText="1"/>
    </xf>
    <xf numFmtId="171" fontId="63" fillId="2" borderId="1" xfId="0" applyNumberFormat="1" applyFont="1" applyFill="1" applyBorder="1" applyAlignment="1">
      <alignment horizontal="center" vertical="center" wrapText="1"/>
    </xf>
    <xf numFmtId="0" fontId="63" fillId="2" borderId="3" xfId="0" applyFont="1" applyFill="1" applyBorder="1" applyAlignment="1">
      <alignment horizontal="center" vertical="center" wrapText="1"/>
    </xf>
    <xf numFmtId="0" fontId="63" fillId="2" borderId="2" xfId="0" applyFont="1" applyFill="1" applyBorder="1" applyAlignment="1">
      <alignment horizontal="center" vertical="center" wrapText="1"/>
    </xf>
    <xf numFmtId="2" fontId="63" fillId="2" borderId="2" xfId="0" applyNumberFormat="1" applyFont="1" applyFill="1" applyBorder="1" applyAlignment="1">
      <alignment horizontal="center" vertical="center" wrapText="1"/>
    </xf>
    <xf numFmtId="171" fontId="63" fillId="2" borderId="2" xfId="0" applyNumberFormat="1" applyFont="1" applyFill="1" applyBorder="1" applyAlignment="1">
      <alignment horizontal="center" vertical="center" wrapText="1"/>
    </xf>
    <xf numFmtId="172" fontId="28" fillId="2" borderId="0" xfId="0" applyNumberFormat="1" applyFont="1" applyFill="1" applyBorder="1" applyAlignment="1">
      <alignment horizontal="right" vertical="center" wrapText="1"/>
    </xf>
    <xf numFmtId="0" fontId="9" fillId="2" borderId="1" xfId="0" applyFont="1" applyFill="1" applyBorder="1" applyAlignment="1">
      <alignment horizontal="center" vertical="center" wrapText="1"/>
    </xf>
    <xf numFmtId="0" fontId="55" fillId="2" borderId="1" xfId="40" applyFont="1" applyFill="1" applyBorder="1" applyAlignment="1">
      <alignment horizontal="left" vertical="center" wrapText="1"/>
    </xf>
    <xf numFmtId="0" fontId="0" fillId="2" borderId="1" xfId="0" applyFill="1" applyBorder="1" applyAlignment="1">
      <alignment horizontal="center" vertical="center" wrapText="1"/>
    </xf>
    <xf numFmtId="0" fontId="55" fillId="0" borderId="0" xfId="40" applyFont="1" applyAlignment="1">
      <alignment horizontal="center"/>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15" fillId="2" borderId="1" xfId="0" applyFont="1" applyFill="1" applyBorder="1" applyAlignment="1">
      <alignment horizontal="center" vertical="center" textRotation="90" wrapText="1"/>
    </xf>
    <xf numFmtId="0" fontId="15" fillId="2" borderId="1" xfId="36" applyFont="1" applyFill="1" applyBorder="1" applyAlignment="1">
      <alignment horizontal="center" vertical="center" textRotation="90" wrapText="1"/>
    </xf>
    <xf numFmtId="0" fontId="23" fillId="2" borderId="0" xfId="0" applyFont="1" applyFill="1" applyAlignment="1">
      <alignment horizontal="center" vertical="center" wrapText="1"/>
    </xf>
    <xf numFmtId="0" fontId="25" fillId="2" borderId="0" xfId="0" applyFont="1" applyFill="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textRotation="90" wrapText="1"/>
    </xf>
    <xf numFmtId="0" fontId="59" fillId="2" borderId="1" xfId="36" applyFont="1" applyFill="1" applyBorder="1" applyAlignment="1">
      <alignment horizontal="center" vertical="center" textRotation="90" wrapText="1"/>
    </xf>
    <xf numFmtId="0" fontId="7" fillId="2" borderId="0" xfId="0" applyFont="1" applyFill="1" applyAlignment="1">
      <alignment horizontal="center" vertical="center" wrapText="1"/>
    </xf>
    <xf numFmtId="0" fontId="9" fillId="2" borderId="1" xfId="36" applyFont="1" applyFill="1" applyBorder="1" applyAlignment="1">
      <alignment horizontal="center" vertical="center" textRotation="90" wrapText="1"/>
    </xf>
    <xf numFmtId="0" fontId="56" fillId="4" borderId="1" xfId="40" applyFont="1" applyFill="1" applyBorder="1" applyAlignment="1">
      <alignment horizontal="center" vertical="center"/>
    </xf>
    <xf numFmtId="171" fontId="55" fillId="4" borderId="1" xfId="40" applyNumberFormat="1" applyFont="1" applyFill="1" applyBorder="1" applyAlignment="1">
      <alignment horizontal="center" vertical="center"/>
    </xf>
    <xf numFmtId="0" fontId="55" fillId="0" borderId="0" xfId="40" applyFont="1" applyAlignment="1">
      <alignment horizontal="center"/>
    </xf>
    <xf numFmtId="0" fontId="56" fillId="0" borderId="1" xfId="40" applyFont="1" applyBorder="1" applyAlignment="1">
      <alignment horizontal="center" vertical="center"/>
    </xf>
    <xf numFmtId="0" fontId="56" fillId="0" borderId="1" xfId="40" applyFont="1" applyFill="1" applyBorder="1" applyAlignment="1">
      <alignment horizontal="center" vertical="center"/>
    </xf>
    <xf numFmtId="0" fontId="56" fillId="5" borderId="1" xfId="40" applyFont="1" applyFill="1" applyBorder="1" applyAlignment="1">
      <alignment horizontal="center" vertical="center"/>
    </xf>
    <xf numFmtId="171" fontId="55" fillId="5" borderId="1" xfId="40" applyNumberFormat="1" applyFont="1" applyFill="1" applyBorder="1" applyAlignment="1">
      <alignment horizontal="center" vertical="center"/>
    </xf>
    <xf numFmtId="0" fontId="32" fillId="2" borderId="0" xfId="72" applyFont="1" applyFill="1" applyAlignment="1">
      <alignment vertical="center"/>
    </xf>
    <xf numFmtId="0" fontId="32" fillId="2" borderId="0" xfId="72" applyFont="1" applyFill="1" applyAlignment="1">
      <alignment horizontal="center" vertical="center"/>
    </xf>
    <xf numFmtId="0" fontId="32" fillId="2" borderId="0" xfId="72" applyFont="1" applyFill="1" applyBorder="1" applyAlignment="1">
      <alignment vertical="center"/>
    </xf>
    <xf numFmtId="0" fontId="32" fillId="2" borderId="4" xfId="72" applyFont="1" applyFill="1" applyBorder="1" applyAlignment="1">
      <alignment vertical="center"/>
    </xf>
    <xf numFmtId="0" fontId="32" fillId="2" borderId="1" xfId="72" applyFont="1" applyFill="1" applyBorder="1" applyAlignment="1">
      <alignment horizontal="center" vertical="center" wrapText="1"/>
    </xf>
    <xf numFmtId="0" fontId="32" fillId="2" borderId="7" xfId="72" applyFont="1" applyFill="1" applyBorder="1" applyAlignment="1">
      <alignment horizontal="center" vertical="center" wrapText="1"/>
    </xf>
    <xf numFmtId="0" fontId="32" fillId="2" borderId="1" xfId="72" applyFont="1" applyFill="1" applyBorder="1" applyAlignment="1">
      <alignment horizontal="center" vertical="center"/>
    </xf>
    <xf numFmtId="0" fontId="32" fillId="2" borderId="1" xfId="7" applyFont="1" applyFill="1" applyBorder="1" applyAlignment="1">
      <alignment vertical="center" wrapText="1"/>
    </xf>
    <xf numFmtId="173" fontId="32" fillId="2" borderId="1" xfId="81" applyFont="1" applyFill="1" applyBorder="1" applyAlignment="1">
      <alignment vertical="center" wrapText="1"/>
    </xf>
    <xf numFmtId="173" fontId="32" fillId="2" borderId="1" xfId="81" applyFont="1" applyFill="1" applyBorder="1" applyAlignment="1">
      <alignment vertical="center"/>
    </xf>
    <xf numFmtId="173" fontId="32" fillId="2" borderId="1" xfId="81" applyFont="1" applyFill="1" applyBorder="1" applyAlignment="1">
      <alignment horizontal="center" vertical="center"/>
    </xf>
    <xf numFmtId="0" fontId="41" fillId="2" borderId="0" xfId="7" applyFont="1" applyFill="1"/>
    <xf numFmtId="0" fontId="34" fillId="6" borderId="1" xfId="7" applyFont="1" applyFill="1" applyBorder="1" applyAlignment="1">
      <alignment vertical="center" wrapText="1"/>
    </xf>
    <xf numFmtId="0" fontId="34" fillId="6" borderId="1" xfId="72" applyFont="1" applyFill="1" applyBorder="1" applyAlignment="1">
      <alignment horizontal="center" vertical="center" wrapText="1"/>
    </xf>
    <xf numFmtId="173" fontId="34" fillId="6" borderId="1" xfId="81" applyFont="1" applyFill="1" applyBorder="1" applyAlignment="1">
      <alignment vertical="center" wrapText="1"/>
    </xf>
    <xf numFmtId="173" fontId="34" fillId="6" borderId="1" xfId="81" applyFont="1" applyFill="1" applyBorder="1" applyAlignment="1">
      <alignment horizontal="center" vertical="center"/>
    </xf>
    <xf numFmtId="0" fontId="34" fillId="6" borderId="0" xfId="72" applyFont="1" applyFill="1" applyAlignment="1">
      <alignment vertical="center"/>
    </xf>
    <xf numFmtId="0" fontId="34" fillId="7" borderId="1" xfId="7" applyFont="1" applyFill="1" applyBorder="1" applyAlignment="1">
      <alignment vertical="center" wrapText="1"/>
    </xf>
    <xf numFmtId="0" fontId="34" fillId="7" borderId="1" xfId="72" applyFont="1" applyFill="1" applyBorder="1" applyAlignment="1">
      <alignment horizontal="center" vertical="center" wrapText="1"/>
    </xf>
    <xf numFmtId="173" fontId="34" fillId="7" borderId="1" xfId="81" applyFont="1" applyFill="1" applyBorder="1" applyAlignment="1">
      <alignment horizontal="center" vertical="center"/>
    </xf>
    <xf numFmtId="0" fontId="34" fillId="7" borderId="0" xfId="72" applyFont="1" applyFill="1" applyBorder="1" applyAlignment="1">
      <alignment vertical="center"/>
    </xf>
    <xf numFmtId="0" fontId="34" fillId="7" borderId="0" xfId="72" applyFont="1" applyFill="1" applyAlignment="1">
      <alignment vertical="center"/>
    </xf>
    <xf numFmtId="4" fontId="34" fillId="2" borderId="0" xfId="72" applyNumberFormat="1" applyFont="1" applyFill="1" applyBorder="1" applyAlignment="1">
      <alignment vertical="center"/>
    </xf>
    <xf numFmtId="0" fontId="34" fillId="2" borderId="0" xfId="72" applyFont="1" applyFill="1" applyBorder="1" applyAlignment="1">
      <alignment vertical="center"/>
    </xf>
    <xf numFmtId="0" fontId="34" fillId="2" borderId="0" xfId="72" applyFont="1" applyFill="1" applyAlignment="1">
      <alignment vertical="center"/>
    </xf>
    <xf numFmtId="49" fontId="32" fillId="2" borderId="1" xfId="72" applyNumberFormat="1" applyFont="1" applyFill="1" applyBorder="1" applyAlignment="1">
      <alignment horizontal="center" vertical="center"/>
    </xf>
    <xf numFmtId="0" fontId="34" fillId="7" borderId="1" xfId="72" applyFont="1" applyFill="1" applyBorder="1" applyAlignment="1">
      <alignment horizontal="center" vertical="center"/>
    </xf>
    <xf numFmtId="49" fontId="34" fillId="7" borderId="1" xfId="72" applyNumberFormat="1" applyFont="1" applyFill="1" applyBorder="1" applyAlignment="1">
      <alignment horizontal="center" vertical="center"/>
    </xf>
    <xf numFmtId="173" fontId="34" fillId="7" borderId="1" xfId="81" applyFont="1" applyFill="1" applyBorder="1" applyAlignment="1">
      <alignment vertical="center"/>
    </xf>
    <xf numFmtId="4" fontId="34" fillId="7" borderId="0" xfId="72" applyNumberFormat="1" applyFont="1" applyFill="1" applyBorder="1" applyAlignment="1">
      <alignment vertical="center"/>
    </xf>
    <xf numFmtId="0" fontId="42" fillId="7" borderId="0" xfId="72" applyFont="1" applyFill="1" applyBorder="1" applyAlignment="1">
      <alignment vertical="center"/>
    </xf>
    <xf numFmtId="0" fontId="42" fillId="7" borderId="0" xfId="72" applyFont="1" applyFill="1" applyAlignment="1">
      <alignment vertical="center"/>
    </xf>
    <xf numFmtId="49" fontId="34" fillId="2" borderId="1" xfId="72" applyNumberFormat="1" applyFont="1" applyFill="1" applyBorder="1" applyAlignment="1">
      <alignment horizontal="center" vertical="center"/>
    </xf>
    <xf numFmtId="0" fontId="42" fillId="2" borderId="0" xfId="72" applyFont="1" applyFill="1" applyBorder="1" applyAlignment="1">
      <alignment vertical="center"/>
    </xf>
    <xf numFmtId="0" fontId="42" fillId="2" borderId="0" xfId="72" applyFont="1" applyFill="1" applyAlignment="1">
      <alignment vertical="center"/>
    </xf>
    <xf numFmtId="165" fontId="32" fillId="2" borderId="1" xfId="92" applyFont="1" applyFill="1" applyBorder="1" applyAlignment="1">
      <alignment vertical="center"/>
    </xf>
    <xf numFmtId="0" fontId="35" fillId="2" borderId="8" xfId="7" applyFont="1" applyFill="1" applyBorder="1" applyAlignment="1">
      <alignment vertical="center"/>
    </xf>
    <xf numFmtId="0" fontId="35" fillId="2" borderId="0" xfId="7" applyFont="1" applyFill="1" applyAlignment="1">
      <alignment vertical="center"/>
    </xf>
    <xf numFmtId="4" fontId="32" fillId="2" borderId="0" xfId="72" applyNumberFormat="1" applyFont="1" applyFill="1" applyBorder="1" applyAlignment="1">
      <alignment vertical="center"/>
    </xf>
    <xf numFmtId="165" fontId="34" fillId="7" borderId="1" xfId="92" applyFont="1" applyFill="1" applyBorder="1" applyAlignment="1">
      <alignment vertical="center"/>
    </xf>
    <xf numFmtId="165" fontId="34" fillId="7" borderId="0" xfId="72" applyNumberFormat="1" applyFont="1" applyFill="1" applyBorder="1" applyAlignment="1">
      <alignment vertical="center"/>
    </xf>
    <xf numFmtId="0" fontId="32" fillId="2" borderId="1" xfId="7" applyFont="1" applyFill="1" applyBorder="1" applyAlignment="1">
      <alignment horizontal="left" vertical="center" wrapText="1" indent="1"/>
    </xf>
    <xf numFmtId="165" fontId="34" fillId="2" borderId="1" xfId="92" applyFont="1" applyFill="1" applyBorder="1" applyAlignment="1">
      <alignment vertical="center"/>
    </xf>
    <xf numFmtId="165" fontId="34" fillId="7" borderId="1" xfId="92" applyFont="1" applyFill="1" applyBorder="1" applyAlignment="1">
      <alignment horizontal="right" vertical="center"/>
    </xf>
    <xf numFmtId="173" fontId="34" fillId="2" borderId="1" xfId="81" applyFont="1" applyFill="1" applyBorder="1" applyAlignment="1">
      <alignment vertical="center"/>
    </xf>
    <xf numFmtId="0" fontId="34" fillId="6" borderId="1" xfId="72" applyFont="1" applyFill="1" applyBorder="1" applyAlignment="1">
      <alignment horizontal="center" vertical="center"/>
    </xf>
    <xf numFmtId="173" fontId="34" fillId="6" borderId="1" xfId="81" applyFont="1" applyFill="1" applyBorder="1" applyAlignment="1">
      <alignment vertical="center"/>
    </xf>
    <xf numFmtId="0" fontId="34" fillId="6" borderId="0" xfId="72" applyFont="1" applyFill="1" applyBorder="1" applyAlignment="1">
      <alignment vertical="center"/>
    </xf>
    <xf numFmtId="4" fontId="34" fillId="6" borderId="0" xfId="72" applyNumberFormat="1" applyFont="1" applyFill="1" applyBorder="1" applyAlignment="1">
      <alignment vertical="center"/>
    </xf>
    <xf numFmtId="0" fontId="32" fillId="2" borderId="1" xfId="7" applyFont="1" applyFill="1" applyBorder="1" applyAlignment="1">
      <alignment vertical="top" wrapText="1"/>
    </xf>
    <xf numFmtId="0" fontId="44" fillId="0" borderId="0" xfId="42" applyNumberFormat="1" applyFont="1" applyBorder="1" applyAlignment="1">
      <alignment horizontal="left"/>
    </xf>
    <xf numFmtId="173" fontId="34" fillId="2" borderId="1" xfId="81" applyFont="1" applyFill="1" applyBorder="1" applyAlignment="1">
      <alignment horizontal="center" vertical="center"/>
    </xf>
    <xf numFmtId="173" fontId="32" fillId="2" borderId="0" xfId="72" applyNumberFormat="1" applyFont="1" applyFill="1" applyAlignment="1">
      <alignment vertical="center"/>
    </xf>
    <xf numFmtId="0" fontId="32" fillId="2" borderId="1" xfId="72" applyFont="1" applyFill="1" applyBorder="1" applyAlignment="1">
      <alignment horizontal="center" vertical="center" wrapText="1"/>
    </xf>
    <xf numFmtId="165" fontId="68" fillId="2" borderId="0" xfId="72" applyNumberFormat="1" applyFont="1" applyFill="1" applyBorder="1" applyAlignment="1">
      <alignment vertical="center"/>
    </xf>
    <xf numFmtId="4" fontId="68" fillId="2" borderId="0" xfId="72" applyNumberFormat="1" applyFont="1" applyFill="1" applyBorder="1" applyAlignment="1">
      <alignment vertical="center"/>
    </xf>
    <xf numFmtId="0" fontId="68" fillId="2" borderId="0" xfId="72" applyFont="1" applyFill="1" applyBorder="1" applyAlignment="1">
      <alignment vertical="center"/>
    </xf>
    <xf numFmtId="165" fontId="68" fillId="2" borderId="0" xfId="72" applyNumberFormat="1" applyFont="1" applyFill="1" applyBorder="1" applyAlignment="1">
      <alignment horizontal="right" vertical="center"/>
    </xf>
    <xf numFmtId="0" fontId="68" fillId="2" borderId="0" xfId="72" applyFont="1" applyFill="1" applyBorder="1" applyAlignment="1">
      <alignment horizontal="center" vertical="center"/>
    </xf>
    <xf numFmtId="0" fontId="32" fillId="2" borderId="0" xfId="72" applyFont="1" applyFill="1" applyBorder="1" applyAlignment="1">
      <alignment horizontal="center" vertical="center"/>
    </xf>
    <xf numFmtId="0" fontId="32" fillId="2" borderId="1" xfId="72" applyFont="1" applyFill="1" applyBorder="1" applyAlignment="1">
      <alignment horizontal="center" vertical="center" wrapText="1"/>
    </xf>
    <xf numFmtId="0" fontId="32" fillId="2" borderId="0" xfId="72" applyFont="1" applyFill="1" applyAlignment="1">
      <alignment horizontal="left" vertical="center"/>
    </xf>
    <xf numFmtId="0" fontId="32" fillId="2" borderId="0" xfId="72" applyFont="1" applyFill="1" applyAlignment="1">
      <alignment horizontal="center" vertical="center"/>
    </xf>
    <xf numFmtId="0" fontId="66" fillId="2" borderId="0" xfId="72" applyFont="1" applyFill="1" applyAlignment="1">
      <alignment vertical="center"/>
    </xf>
    <xf numFmtId="0" fontId="66" fillId="2" borderId="0" xfId="72" applyFont="1" applyFill="1" applyAlignment="1">
      <alignment horizontal="center" vertical="center"/>
    </xf>
    <xf numFmtId="0" fontId="66" fillId="2" borderId="0" xfId="72" applyFont="1" applyFill="1" applyBorder="1" applyAlignment="1">
      <alignment horizontal="center" vertical="center"/>
    </xf>
    <xf numFmtId="165" fontId="32" fillId="2" borderId="0" xfId="72" applyNumberFormat="1" applyFont="1" applyFill="1" applyBorder="1" applyAlignment="1">
      <alignment vertical="center"/>
    </xf>
    <xf numFmtId="0" fontId="32" fillId="2" borderId="1" xfId="7" applyFont="1" applyFill="1" applyBorder="1" applyAlignment="1">
      <alignment horizontal="left" vertical="top" wrapText="1"/>
    </xf>
    <xf numFmtId="0" fontId="61" fillId="2" borderId="0" xfId="72" applyFont="1" applyFill="1" applyAlignment="1">
      <alignment vertical="center"/>
    </xf>
    <xf numFmtId="175" fontId="34" fillId="7" borderId="1" xfId="92" applyNumberFormat="1" applyFont="1" applyFill="1" applyBorder="1" applyAlignment="1">
      <alignment vertical="center"/>
    </xf>
    <xf numFmtId="175" fontId="32" fillId="2" borderId="1" xfId="92" applyNumberFormat="1" applyFont="1" applyFill="1" applyBorder="1" applyAlignment="1">
      <alignment vertical="center"/>
    </xf>
    <xf numFmtId="175" fontId="34" fillId="2" borderId="1" xfId="92" applyNumberFormat="1" applyFont="1" applyFill="1" applyBorder="1" applyAlignment="1">
      <alignment vertical="center"/>
    </xf>
    <xf numFmtId="0" fontId="32" fillId="2" borderId="1" xfId="72" applyFont="1" applyFill="1" applyBorder="1" applyAlignment="1">
      <alignment horizontal="center" vertical="center" wrapText="1"/>
    </xf>
    <xf numFmtId="0" fontId="31" fillId="0" borderId="1" xfId="72" applyFont="1" applyFill="1" applyBorder="1" applyAlignment="1">
      <alignment horizontal="center" vertical="center" wrapText="1"/>
    </xf>
    <xf numFmtId="0" fontId="31" fillId="2" borderId="1" xfId="72" applyFont="1" applyFill="1" applyBorder="1" applyAlignment="1">
      <alignment horizontal="center" vertical="center" wrapText="1"/>
    </xf>
    <xf numFmtId="0" fontId="32" fillId="0" borderId="0" xfId="72" applyFont="1" applyFill="1" applyAlignment="1">
      <alignment vertical="center"/>
    </xf>
    <xf numFmtId="0" fontId="32" fillId="2" borderId="0" xfId="72" applyFont="1" applyFill="1" applyAlignment="1">
      <alignment horizontal="left" vertical="center"/>
    </xf>
    <xf numFmtId="0" fontId="32" fillId="0" borderId="1" xfId="72" applyFont="1" applyFill="1" applyBorder="1" applyAlignment="1">
      <alignment horizontal="center" vertical="center"/>
    </xf>
    <xf numFmtId="0" fontId="32" fillId="0" borderId="1" xfId="72" applyFont="1" applyFill="1" applyBorder="1" applyAlignment="1">
      <alignment horizontal="center" vertical="center" wrapText="1"/>
    </xf>
    <xf numFmtId="0" fontId="61" fillId="0" borderId="0" xfId="72" applyFont="1" applyFill="1" applyAlignment="1">
      <alignment vertical="center"/>
    </xf>
    <xf numFmtId="0" fontId="32" fillId="2" borderId="0" xfId="72" applyFont="1" applyFill="1" applyAlignment="1">
      <alignment horizontal="left" vertical="center"/>
    </xf>
    <xf numFmtId="0" fontId="32" fillId="2" borderId="1" xfId="72" applyFont="1" applyFill="1" applyBorder="1" applyAlignment="1">
      <alignment horizontal="center" vertical="center" wrapText="1"/>
    </xf>
    <xf numFmtId="0" fontId="32" fillId="2" borderId="0" xfId="72" applyFont="1" applyFill="1" applyAlignment="1">
      <alignment horizontal="left" vertical="center" wrapText="1"/>
    </xf>
    <xf numFmtId="165" fontId="32" fillId="2" borderId="0" xfId="72" applyNumberFormat="1" applyFont="1" applyFill="1" applyBorder="1" applyAlignment="1">
      <alignment horizontal="right" vertical="center"/>
    </xf>
    <xf numFmtId="0" fontId="32" fillId="2" borderId="1" xfId="72" applyFont="1" applyFill="1" applyBorder="1" applyAlignment="1">
      <alignment horizontal="center" vertical="center" wrapText="1"/>
    </xf>
    <xf numFmtId="0" fontId="38" fillId="2" borderId="21" xfId="42" applyNumberFormat="1" applyFont="1" applyFill="1" applyBorder="1" applyAlignment="1">
      <alignment horizontal="left" indent="1"/>
    </xf>
    <xf numFmtId="4" fontId="38" fillId="2" borderId="39" xfId="42" applyNumberFormat="1" applyFont="1" applyFill="1" applyBorder="1" applyAlignment="1">
      <alignment horizontal="center"/>
    </xf>
    <xf numFmtId="0" fontId="47" fillId="0" borderId="0" xfId="42" applyNumberFormat="1" applyFont="1" applyBorder="1" applyAlignment="1">
      <alignment horizontal="left"/>
    </xf>
    <xf numFmtId="0" fontId="47" fillId="0" borderId="0" xfId="42" applyNumberFormat="1" applyFont="1" applyBorder="1" applyAlignment="1">
      <alignment horizontal="center" vertical="top"/>
    </xf>
    <xf numFmtId="0" fontId="38" fillId="0" borderId="9" xfId="42" applyNumberFormat="1" applyFont="1" applyBorder="1" applyAlignment="1">
      <alignment horizontal="left"/>
    </xf>
    <xf numFmtId="0" fontId="38" fillId="0" borderId="10" xfId="42" applyNumberFormat="1" applyFont="1" applyBorder="1" applyAlignment="1">
      <alignment horizontal="left"/>
    </xf>
    <xf numFmtId="0" fontId="38" fillId="0" borderId="11" xfId="42" applyNumberFormat="1" applyFont="1" applyBorder="1" applyAlignment="1">
      <alignment horizontal="left"/>
    </xf>
    <xf numFmtId="0" fontId="38" fillId="0" borderId="12" xfId="42" applyNumberFormat="1" applyFont="1" applyBorder="1" applyAlignment="1">
      <alignment horizontal="left"/>
    </xf>
    <xf numFmtId="0" fontId="47" fillId="0" borderId="11" xfId="42" applyNumberFormat="1" applyFont="1" applyBorder="1" applyAlignment="1">
      <alignment horizontal="center" vertical="top"/>
    </xf>
    <xf numFmtId="0" fontId="47" fillId="0" borderId="12" xfId="42" applyNumberFormat="1" applyFont="1" applyBorder="1" applyAlignment="1">
      <alignment horizontal="center" vertical="top"/>
    </xf>
    <xf numFmtId="0" fontId="38" fillId="0" borderId="13" xfId="42" applyNumberFormat="1" applyFont="1" applyBorder="1" applyAlignment="1">
      <alignment horizontal="left"/>
    </xf>
    <xf numFmtId="0" fontId="38" fillId="0" borderId="14" xfId="42" applyNumberFormat="1" applyFont="1" applyBorder="1" applyAlignment="1">
      <alignment horizontal="left"/>
    </xf>
    <xf numFmtId="0" fontId="38" fillId="0" borderId="15" xfId="42" applyNumberFormat="1" applyFont="1" applyBorder="1" applyAlignment="1">
      <alignment horizontal="left"/>
    </xf>
    <xf numFmtId="0" fontId="38" fillId="0" borderId="16" xfId="42" applyNumberFormat="1" applyFont="1" applyBorder="1" applyAlignment="1">
      <alignment horizontal="left"/>
    </xf>
    <xf numFmtId="0" fontId="32" fillId="2" borderId="20" xfId="72" applyFont="1" applyFill="1" applyBorder="1" applyAlignment="1">
      <alignment horizontal="center" vertical="center" wrapText="1"/>
    </xf>
    <xf numFmtId="173" fontId="32" fillId="0" borderId="1" xfId="81" applyFont="1" applyFill="1" applyBorder="1" applyAlignment="1">
      <alignment vertical="center"/>
    </xf>
    <xf numFmtId="173" fontId="32" fillId="0" borderId="1" xfId="81" applyFont="1" applyFill="1" applyBorder="1" applyAlignment="1">
      <alignment horizontal="center" vertical="center"/>
    </xf>
    <xf numFmtId="165" fontId="32" fillId="0" borderId="1" xfId="92" applyFont="1" applyFill="1" applyBorder="1" applyAlignment="1">
      <alignment vertical="center"/>
    </xf>
    <xf numFmtId="0" fontId="67" fillId="2" borderId="0" xfId="72" applyFont="1" applyFill="1" applyAlignment="1">
      <alignment vertical="center"/>
    </xf>
    <xf numFmtId="0" fontId="32" fillId="2" borderId="0" xfId="72" applyFont="1" applyFill="1" applyAlignment="1">
      <alignment horizontal="left" vertical="center"/>
    </xf>
    <xf numFmtId="49" fontId="32" fillId="8" borderId="1" xfId="72" applyNumberFormat="1" applyFont="1" applyFill="1" applyBorder="1" applyAlignment="1">
      <alignment horizontal="center" vertical="center"/>
    </xf>
    <xf numFmtId="165" fontId="34" fillId="2" borderId="17" xfId="92" applyFont="1" applyFill="1" applyBorder="1" applyAlignment="1">
      <alignment vertical="center"/>
    </xf>
    <xf numFmtId="165" fontId="34" fillId="2" borderId="20" xfId="92" applyFont="1" applyFill="1" applyBorder="1" applyAlignment="1">
      <alignment vertical="center"/>
    </xf>
    <xf numFmtId="0" fontId="34" fillId="8" borderId="1" xfId="72" applyFont="1" applyFill="1" applyBorder="1" applyAlignment="1">
      <alignment horizontal="center" vertical="center"/>
    </xf>
    <xf numFmtId="165" fontId="34" fillId="7" borderId="17" xfId="92" applyFont="1" applyFill="1" applyBorder="1" applyAlignment="1">
      <alignment vertical="center"/>
    </xf>
    <xf numFmtId="173" fontId="32" fillId="2" borderId="17" xfId="81" applyFont="1" applyFill="1" applyBorder="1" applyAlignment="1">
      <alignment vertical="center"/>
    </xf>
    <xf numFmtId="0" fontId="32" fillId="8" borderId="1" xfId="72" applyFont="1" applyFill="1" applyBorder="1" applyAlignment="1">
      <alignment horizontal="center" vertical="center"/>
    </xf>
    <xf numFmtId="49" fontId="32" fillId="0" borderId="1" xfId="72" applyNumberFormat="1" applyFont="1" applyFill="1" applyBorder="1" applyAlignment="1">
      <alignment horizontal="center" vertical="center"/>
    </xf>
    <xf numFmtId="173" fontId="34" fillId="2" borderId="17" xfId="81" applyFont="1" applyFill="1" applyBorder="1" applyAlignment="1">
      <alignment vertical="center"/>
    </xf>
    <xf numFmtId="173" fontId="34" fillId="6" borderId="17" xfId="81" applyFont="1" applyFill="1" applyBorder="1" applyAlignment="1">
      <alignment vertical="center"/>
    </xf>
    <xf numFmtId="173" fontId="34" fillId="7" borderId="17" xfId="81" applyFont="1" applyFill="1" applyBorder="1" applyAlignment="1">
      <alignment vertical="center"/>
    </xf>
    <xf numFmtId="165" fontId="34" fillId="2" borderId="0" xfId="92" applyFont="1" applyFill="1" applyBorder="1" applyAlignment="1">
      <alignment vertical="center"/>
    </xf>
    <xf numFmtId="165" fontId="34" fillId="7" borderId="0" xfId="92" applyFont="1" applyFill="1" applyBorder="1" applyAlignment="1">
      <alignment vertical="center"/>
    </xf>
    <xf numFmtId="173" fontId="32" fillId="2" borderId="0" xfId="81" applyFont="1" applyFill="1" applyBorder="1" applyAlignment="1">
      <alignment vertical="center"/>
    </xf>
    <xf numFmtId="0" fontId="32" fillId="2" borderId="0" xfId="72" applyFont="1" applyFill="1" applyAlignment="1">
      <alignment horizontal="center" vertical="center"/>
    </xf>
    <xf numFmtId="0" fontId="32" fillId="2" borderId="1" xfId="72" applyFont="1" applyFill="1" applyBorder="1" applyAlignment="1">
      <alignment vertical="center"/>
    </xf>
    <xf numFmtId="0" fontId="68" fillId="2" borderId="0" xfId="72" applyFont="1" applyFill="1" applyAlignment="1">
      <alignment horizontal="center" vertical="center"/>
    </xf>
    <xf numFmtId="0" fontId="32" fillId="2" borderId="0" xfId="72" applyFont="1" applyFill="1" applyAlignment="1">
      <alignment horizontal="center" vertical="center"/>
    </xf>
    <xf numFmtId="0" fontId="68" fillId="2" borderId="0" xfId="72" applyFont="1" applyFill="1" applyAlignment="1">
      <alignment vertical="center"/>
    </xf>
    <xf numFmtId="165" fontId="32" fillId="2" borderId="1" xfId="92" quotePrefix="1" applyFont="1" applyFill="1" applyBorder="1" applyAlignment="1">
      <alignment vertical="center"/>
    </xf>
    <xf numFmtId="165" fontId="32" fillId="2" borderId="0" xfId="72" applyNumberFormat="1" applyFont="1" applyFill="1" applyAlignment="1">
      <alignment horizontal="right" vertical="center"/>
    </xf>
    <xf numFmtId="0" fontId="32" fillId="2" borderId="38" xfId="72" applyFont="1" applyFill="1" applyBorder="1" applyAlignment="1">
      <alignment vertical="center"/>
    </xf>
    <xf numFmtId="4" fontId="32" fillId="2" borderId="0" xfId="72" applyNumberFormat="1" applyFont="1" applyFill="1" applyAlignment="1">
      <alignment horizontal="center" vertical="center"/>
    </xf>
    <xf numFmtId="0" fontId="32" fillId="2" borderId="0" xfId="72" applyFont="1" applyFill="1" applyAlignment="1">
      <alignment horizontal="center" vertical="center"/>
    </xf>
    <xf numFmtId="0" fontId="32" fillId="2" borderId="20" xfId="72" applyFont="1" applyFill="1" applyBorder="1" applyAlignment="1">
      <alignment horizontal="center" vertical="center"/>
    </xf>
    <xf numFmtId="0" fontId="38" fillId="2" borderId="44" xfId="42" applyNumberFormat="1" applyFont="1" applyFill="1" applyBorder="1" applyAlignment="1">
      <alignment horizontal="center"/>
    </xf>
    <xf numFmtId="0" fontId="38" fillId="2" borderId="42" xfId="42" applyNumberFormat="1" applyFont="1" applyFill="1" applyBorder="1" applyAlignment="1">
      <alignment horizontal="center"/>
    </xf>
    <xf numFmtId="0" fontId="48" fillId="0" borderId="0" xfId="42" applyNumberFormat="1" applyFont="1" applyBorder="1" applyAlignment="1">
      <alignment horizontal="left"/>
    </xf>
    <xf numFmtId="0" fontId="38" fillId="0" borderId="0" xfId="42" applyNumberFormat="1" applyFont="1" applyBorder="1" applyAlignment="1">
      <alignment horizontal="left"/>
    </xf>
    <xf numFmtId="49" fontId="38" fillId="2" borderId="4" xfId="42" applyNumberFormat="1" applyFont="1" applyFill="1" applyBorder="1" applyAlignment="1">
      <alignment horizontal="center"/>
    </xf>
    <xf numFmtId="49" fontId="38" fillId="2" borderId="26" xfId="42" applyNumberFormat="1" applyFont="1" applyFill="1" applyBorder="1" applyAlignment="1">
      <alignment horizontal="center"/>
    </xf>
    <xf numFmtId="49" fontId="38" fillId="2" borderId="2" xfId="42" applyNumberFormat="1" applyFont="1" applyFill="1" applyBorder="1" applyAlignment="1">
      <alignment horizontal="center"/>
    </xf>
    <xf numFmtId="4" fontId="38" fillId="2" borderId="27" xfId="42" applyNumberFormat="1" applyFont="1" applyFill="1" applyBorder="1" applyAlignment="1">
      <alignment horizontal="center"/>
    </xf>
    <xf numFmtId="4" fontId="38" fillId="2" borderId="4" xfId="42" applyNumberFormat="1" applyFont="1" applyFill="1" applyBorder="1" applyAlignment="1">
      <alignment horizontal="center"/>
    </xf>
    <xf numFmtId="0" fontId="38" fillId="2" borderId="27" xfId="42" applyNumberFormat="1" applyFont="1" applyFill="1" applyBorder="1" applyAlignment="1">
      <alignment horizontal="center"/>
    </xf>
    <xf numFmtId="0" fontId="38" fillId="2" borderId="4" xfId="42" applyNumberFormat="1" applyFont="1" applyFill="1" applyBorder="1" applyAlignment="1">
      <alignment horizontal="center"/>
    </xf>
    <xf numFmtId="0" fontId="38" fillId="2" borderId="39" xfId="42" applyNumberFormat="1" applyFont="1" applyFill="1" applyBorder="1" applyAlignment="1">
      <alignment horizontal="center"/>
    </xf>
    <xf numFmtId="49" fontId="38" fillId="2" borderId="21" xfId="42" applyNumberFormat="1" applyFont="1" applyFill="1" applyBorder="1" applyAlignment="1">
      <alignment horizontal="center"/>
    </xf>
    <xf numFmtId="49" fontId="38" fillId="2" borderId="22" xfId="42" applyNumberFormat="1" applyFont="1" applyFill="1" applyBorder="1" applyAlignment="1">
      <alignment horizontal="center"/>
    </xf>
    <xf numFmtId="49" fontId="38" fillId="2" borderId="17" xfId="42" applyNumberFormat="1" applyFont="1" applyFill="1" applyBorder="1" applyAlignment="1">
      <alignment horizontal="center"/>
    </xf>
    <xf numFmtId="4" fontId="38" fillId="2" borderId="17" xfId="42" applyNumberFormat="1" applyFont="1" applyFill="1" applyBorder="1" applyAlignment="1">
      <alignment horizontal="center"/>
    </xf>
    <xf numFmtId="4" fontId="38" fillId="2" borderId="21" xfId="42" applyNumberFormat="1" applyFont="1" applyFill="1" applyBorder="1" applyAlignment="1">
      <alignment horizontal="center"/>
    </xf>
    <xf numFmtId="4" fontId="38" fillId="2" borderId="31" xfId="42" applyNumberFormat="1" applyFont="1" applyFill="1" applyBorder="1" applyAlignment="1">
      <alignment horizontal="center"/>
    </xf>
    <xf numFmtId="0" fontId="38" fillId="2" borderId="17" xfId="42" applyNumberFormat="1" applyFont="1" applyFill="1" applyBorder="1" applyAlignment="1">
      <alignment horizontal="left" wrapText="1" indent="1"/>
    </xf>
    <xf numFmtId="0" fontId="32" fillId="2" borderId="0" xfId="72" applyFont="1" applyFill="1" applyAlignment="1">
      <alignment horizontal="center" vertical="center"/>
    </xf>
    <xf numFmtId="0" fontId="32" fillId="2" borderId="0" xfId="72" applyFont="1" applyFill="1" applyAlignment="1">
      <alignment horizontal="right" vertical="center"/>
    </xf>
    <xf numFmtId="0" fontId="32" fillId="2" borderId="0" xfId="72" applyFont="1" applyFill="1" applyAlignment="1">
      <alignment horizontal="left" vertical="center"/>
    </xf>
    <xf numFmtId="0" fontId="61" fillId="2" borderId="0" xfId="72" applyFont="1" applyFill="1" applyAlignment="1">
      <alignment horizontal="center" vertical="center"/>
    </xf>
    <xf numFmtId="0" fontId="61" fillId="2" borderId="0" xfId="72" applyFont="1" applyFill="1" applyAlignment="1">
      <alignment horizontal="right" vertical="center"/>
    </xf>
    <xf numFmtId="0" fontId="61" fillId="2" borderId="1" xfId="72" applyFont="1" applyFill="1" applyBorder="1" applyAlignment="1">
      <alignment vertical="center"/>
    </xf>
    <xf numFmtId="0" fontId="61" fillId="2" borderId="0" xfId="72" applyFont="1" applyFill="1" applyBorder="1" applyAlignment="1">
      <alignment vertical="center"/>
    </xf>
    <xf numFmtId="0" fontId="61" fillId="2" borderId="0" xfId="72" applyFont="1" applyFill="1" applyBorder="1" applyAlignment="1">
      <alignment horizontal="right" vertical="center"/>
    </xf>
    <xf numFmtId="0" fontId="61" fillId="0" borderId="0" xfId="72" applyFont="1" applyFill="1" applyAlignment="1">
      <alignment horizontal="center" vertical="center"/>
    </xf>
    <xf numFmtId="0" fontId="61" fillId="0" borderId="0" xfId="72" applyFont="1" applyFill="1" applyAlignment="1">
      <alignment horizontal="right" vertical="center"/>
    </xf>
    <xf numFmtId="0" fontId="61" fillId="0" borderId="1" xfId="72" applyFont="1" applyFill="1" applyBorder="1" applyAlignment="1">
      <alignment horizontal="center" vertical="center"/>
    </xf>
    <xf numFmtId="170" fontId="61" fillId="0" borderId="0" xfId="72" applyNumberFormat="1" applyFont="1" applyFill="1" applyAlignment="1">
      <alignment vertical="center"/>
    </xf>
    <xf numFmtId="0" fontId="32" fillId="2" borderId="1" xfId="72" applyFont="1" applyFill="1" applyBorder="1" applyAlignment="1">
      <alignment horizontal="center" vertical="center" wrapText="1"/>
    </xf>
    <xf numFmtId="170" fontId="68" fillId="2" borderId="0" xfId="72" applyNumberFormat="1" applyFont="1" applyFill="1" applyAlignment="1">
      <alignment vertical="center"/>
    </xf>
    <xf numFmtId="0" fontId="55" fillId="0" borderId="0" xfId="40" applyFont="1" applyAlignment="1">
      <alignment horizontal="center"/>
    </xf>
    <xf numFmtId="0" fontId="56" fillId="5" borderId="17" xfId="40" applyFont="1" applyFill="1" applyBorder="1" applyAlignment="1">
      <alignment horizontal="center" vertical="center" wrapText="1"/>
    </xf>
    <xf numFmtId="0" fontId="56" fillId="5" borderId="21" xfId="40" applyFont="1" applyFill="1" applyBorder="1" applyAlignment="1">
      <alignment horizontal="center" vertical="center" wrapText="1"/>
    </xf>
    <xf numFmtId="0" fontId="56" fillId="5" borderId="22" xfId="40" applyFont="1" applyFill="1" applyBorder="1" applyAlignment="1">
      <alignment horizontal="center" vertical="center" wrapText="1"/>
    </xf>
    <xf numFmtId="171" fontId="55" fillId="5" borderId="20" xfId="40" applyNumberFormat="1" applyFont="1" applyFill="1" applyBorder="1" applyAlignment="1">
      <alignment horizontal="center" vertical="center"/>
    </xf>
    <xf numFmtId="171" fontId="55" fillId="5" borderId="19" xfId="40" applyNumberFormat="1" applyFont="1" applyFill="1" applyBorder="1" applyAlignment="1">
      <alignment horizontal="center" vertical="center"/>
    </xf>
    <xf numFmtId="171" fontId="55" fillId="5" borderId="18" xfId="40" applyNumberFormat="1" applyFont="1" applyFill="1" applyBorder="1" applyAlignment="1">
      <alignment horizontal="center" vertical="center"/>
    </xf>
    <xf numFmtId="171" fontId="55" fillId="2" borderId="20" xfId="40" applyNumberFormat="1" applyFont="1" applyFill="1" applyBorder="1" applyAlignment="1">
      <alignment horizontal="center" vertical="center"/>
    </xf>
    <xf numFmtId="171" fontId="55" fillId="2" borderId="19" xfId="40" applyNumberFormat="1" applyFont="1" applyFill="1" applyBorder="1" applyAlignment="1">
      <alignment horizontal="center" vertical="center"/>
    </xf>
    <xf numFmtId="171" fontId="55" fillId="2" borderId="18" xfId="40" applyNumberFormat="1" applyFont="1" applyFill="1" applyBorder="1" applyAlignment="1">
      <alignment horizontal="center" vertical="center"/>
    </xf>
    <xf numFmtId="0" fontId="56" fillId="0" borderId="1" xfId="40" applyFont="1" applyBorder="1" applyAlignment="1">
      <alignment horizontal="center" vertical="center"/>
    </xf>
    <xf numFmtId="0" fontId="56" fillId="0" borderId="20" xfId="40" applyFont="1" applyBorder="1" applyAlignment="1">
      <alignment horizontal="center" vertical="center"/>
    </xf>
    <xf numFmtId="0" fontId="56" fillId="0" borderId="18" xfId="40" applyFont="1" applyBorder="1" applyAlignment="1">
      <alignment horizontal="center" vertical="center"/>
    </xf>
    <xf numFmtId="0" fontId="56" fillId="0" borderId="17" xfId="40" applyFont="1" applyBorder="1" applyAlignment="1">
      <alignment horizontal="center" vertical="center" wrapText="1"/>
    </xf>
    <xf numFmtId="0" fontId="56" fillId="0" borderId="21" xfId="40" applyFont="1" applyBorder="1" applyAlignment="1">
      <alignment horizontal="center" vertical="center" wrapText="1"/>
    </xf>
    <xf numFmtId="0" fontId="56" fillId="0" borderId="22" xfId="40" applyFont="1" applyBorder="1" applyAlignment="1">
      <alignment horizontal="center" vertical="center" wrapText="1"/>
    </xf>
    <xf numFmtId="0" fontId="56" fillId="0" borderId="1" xfId="40" applyFont="1" applyBorder="1" applyAlignment="1">
      <alignment horizontal="center" vertical="center" wrapText="1"/>
    </xf>
    <xf numFmtId="0" fontId="27" fillId="2" borderId="17" xfId="0" applyFont="1" applyFill="1" applyBorder="1" applyAlignment="1">
      <alignment horizontal="center" vertical="center"/>
    </xf>
    <xf numFmtId="0" fontId="27" fillId="2" borderId="22" xfId="0" applyFont="1" applyFill="1" applyBorder="1" applyAlignment="1">
      <alignment horizontal="center" vertical="center"/>
    </xf>
    <xf numFmtId="0" fontId="15" fillId="2" borderId="1" xfId="0" applyFont="1" applyFill="1" applyBorder="1" applyAlignment="1">
      <alignment horizontal="center" vertical="center" textRotation="90" wrapText="1"/>
    </xf>
    <xf numFmtId="0" fontId="15" fillId="2" borderId="1" xfId="0" applyFont="1" applyFill="1" applyBorder="1" applyAlignment="1">
      <alignment horizontal="center" vertical="center" wrapText="1"/>
    </xf>
    <xf numFmtId="0" fontId="26" fillId="2" borderId="0" xfId="0" applyFont="1" applyFill="1" applyAlignment="1">
      <alignment horizontal="left" vertical="center" wrapText="1"/>
    </xf>
    <xf numFmtId="0" fontId="27" fillId="2" borderId="1" xfId="0" applyFont="1" applyFill="1" applyBorder="1" applyAlignment="1">
      <alignment horizontal="center" vertical="center" wrapText="1"/>
    </xf>
    <xf numFmtId="0" fontId="15" fillId="2" borderId="1" xfId="36" applyFont="1" applyFill="1" applyBorder="1" applyAlignment="1">
      <alignment horizontal="center" vertical="center" textRotation="90" wrapText="1"/>
    </xf>
    <xf numFmtId="0" fontId="15" fillId="2" borderId="1" xfId="36" applyFont="1" applyFill="1" applyBorder="1" applyAlignment="1">
      <alignment horizontal="center" vertical="center" wrapText="1"/>
    </xf>
    <xf numFmtId="0" fontId="27" fillId="2" borderId="17" xfId="0" applyFont="1" applyFill="1" applyBorder="1" applyAlignment="1">
      <alignment horizontal="center" vertical="center" wrapText="1"/>
    </xf>
    <xf numFmtId="0" fontId="27" fillId="2" borderId="22" xfId="0" applyFont="1" applyFill="1" applyBorder="1" applyAlignment="1">
      <alignment horizontal="center" vertical="center" wrapText="1"/>
    </xf>
    <xf numFmtId="169" fontId="15" fillId="2" borderId="20" xfId="0" applyNumberFormat="1" applyFont="1" applyFill="1" applyBorder="1" applyAlignment="1">
      <alignment horizontal="center" vertical="center" wrapText="1"/>
    </xf>
    <xf numFmtId="169" fontId="15" fillId="2" borderId="19" xfId="0" applyNumberFormat="1" applyFont="1" applyFill="1" applyBorder="1" applyAlignment="1">
      <alignment horizontal="center" vertical="center" wrapText="1"/>
    </xf>
    <xf numFmtId="0" fontId="22" fillId="2" borderId="0" xfId="0" applyFont="1" applyFill="1" applyAlignment="1">
      <alignment horizontal="left" vertical="center"/>
    </xf>
    <xf numFmtId="0" fontId="23" fillId="2" borderId="0" xfId="0" applyFont="1" applyFill="1" applyAlignment="1">
      <alignment horizontal="center" vertical="center" wrapText="1"/>
    </xf>
    <xf numFmtId="0" fontId="25" fillId="2" borderId="0" xfId="0" applyFont="1" applyFill="1" applyAlignment="1">
      <alignment horizontal="center" vertical="center" wrapText="1"/>
    </xf>
    <xf numFmtId="0" fontId="26" fillId="2" borderId="1" xfId="0" applyFont="1" applyFill="1" applyBorder="1" applyAlignment="1">
      <alignment horizontal="center" vertical="center" wrapText="1"/>
    </xf>
    <xf numFmtId="0" fontId="0" fillId="2" borderId="1" xfId="0" applyFill="1" applyBorder="1" applyAlignment="1">
      <alignment horizontal="center" vertical="center" textRotation="90" wrapText="1"/>
    </xf>
    <xf numFmtId="0" fontId="0" fillId="2" borderId="1" xfId="0" applyFill="1" applyBorder="1" applyAlignment="1">
      <alignment horizontal="center" vertical="center" wrapText="1"/>
    </xf>
    <xf numFmtId="0" fontId="19" fillId="2" borderId="1" xfId="0" applyFont="1" applyFill="1" applyBorder="1" applyAlignment="1">
      <alignment horizontal="center" vertical="center" wrapText="1"/>
    </xf>
    <xf numFmtId="0" fontId="59" fillId="2" borderId="1" xfId="36" applyFont="1" applyFill="1" applyBorder="1" applyAlignment="1">
      <alignment horizontal="center" vertical="center" textRotation="90" wrapText="1"/>
    </xf>
    <xf numFmtId="0" fontId="59" fillId="2" borderId="1" xfId="36" applyFont="1" applyFill="1" applyBorder="1" applyAlignment="1">
      <alignment horizontal="center" vertical="center" wrapText="1"/>
    </xf>
    <xf numFmtId="169" fontId="11" fillId="2" borderId="20" xfId="0" applyNumberFormat="1" applyFont="1" applyFill="1" applyBorder="1" applyAlignment="1">
      <alignment horizontal="center" vertical="center" wrapText="1"/>
    </xf>
    <xf numFmtId="169" fontId="11" fillId="2" borderId="19" xfId="0" applyNumberFormat="1" applyFont="1" applyFill="1" applyBorder="1" applyAlignment="1">
      <alignment horizontal="center" vertical="center" wrapText="1"/>
    </xf>
    <xf numFmtId="0" fontId="12" fillId="2" borderId="0" xfId="0" applyFont="1" applyFill="1" applyAlignment="1">
      <alignment horizontal="left" vertical="center"/>
    </xf>
    <xf numFmtId="0" fontId="13" fillId="2" borderId="0" xfId="0" applyFont="1" applyFill="1" applyAlignment="1">
      <alignment horizontal="center" vertical="center" wrapText="1"/>
    </xf>
    <xf numFmtId="0" fontId="7" fillId="2" borderId="0" xfId="0" applyFont="1" applyFill="1" applyAlignment="1">
      <alignment horizontal="center" vertical="center" wrapText="1"/>
    </xf>
    <xf numFmtId="0" fontId="20" fillId="2" borderId="1" xfId="0" applyFont="1" applyFill="1" applyBorder="1" applyAlignment="1">
      <alignment horizontal="center" vertical="center" wrapText="1"/>
    </xf>
    <xf numFmtId="0" fontId="72" fillId="2" borderId="0" xfId="72" applyFont="1" applyFill="1" applyAlignment="1">
      <alignment horizontal="center" vertical="center"/>
    </xf>
    <xf numFmtId="0" fontId="32" fillId="2" borderId="0" xfId="72" applyFont="1" applyFill="1" applyAlignment="1">
      <alignment horizontal="center" vertical="center"/>
    </xf>
    <xf numFmtId="0" fontId="32" fillId="0" borderId="4" xfId="72" applyFont="1" applyFill="1" applyBorder="1" applyAlignment="1">
      <alignment horizontal="center" vertical="center"/>
    </xf>
    <xf numFmtId="0" fontId="32" fillId="2" borderId="2" xfId="72" applyFont="1" applyFill="1" applyBorder="1" applyAlignment="1">
      <alignment horizontal="center" vertical="center"/>
    </xf>
    <xf numFmtId="0" fontId="32" fillId="2" borderId="4" xfId="72" applyFont="1" applyFill="1" applyBorder="1" applyAlignment="1">
      <alignment horizontal="center" vertical="center"/>
    </xf>
    <xf numFmtId="0" fontId="32" fillId="2" borderId="2" xfId="7" applyFont="1" applyFill="1" applyBorder="1" applyAlignment="1">
      <alignment horizontal="left" vertical="center" wrapText="1"/>
    </xf>
    <xf numFmtId="0" fontId="32" fillId="2" borderId="0" xfId="72" applyFont="1" applyFill="1" applyAlignment="1">
      <alignment horizontal="left" vertical="center"/>
    </xf>
    <xf numFmtId="0" fontId="32" fillId="2" borderId="17" xfId="72" applyFont="1" applyFill="1" applyBorder="1" applyAlignment="1">
      <alignment horizontal="center" vertical="center" wrapText="1"/>
    </xf>
    <xf numFmtId="0" fontId="32" fillId="2" borderId="21" xfId="72" applyFont="1" applyFill="1" applyBorder="1" applyAlignment="1">
      <alignment horizontal="center" vertical="center" wrapText="1"/>
    </xf>
    <xf numFmtId="0" fontId="32" fillId="2" borderId="22" xfId="72" applyFont="1" applyFill="1" applyBorder="1" applyAlignment="1">
      <alignment horizontal="center" vertical="center" wrapText="1"/>
    </xf>
    <xf numFmtId="0" fontId="61" fillId="0" borderId="0" xfId="72" applyFont="1" applyFill="1" applyAlignment="1">
      <alignment horizontal="center" vertical="center"/>
    </xf>
    <xf numFmtId="0" fontId="32" fillId="2" borderId="20" xfId="72" applyFont="1" applyFill="1" applyBorder="1" applyAlignment="1">
      <alignment horizontal="center" vertical="center"/>
    </xf>
    <xf numFmtId="0" fontId="32" fillId="2" borderId="19" xfId="72" applyFont="1" applyFill="1" applyBorder="1" applyAlignment="1">
      <alignment horizontal="center" vertical="center"/>
    </xf>
    <xf numFmtId="0" fontId="32" fillId="2" borderId="18" xfId="72" applyFont="1" applyFill="1" applyBorder="1" applyAlignment="1">
      <alignment horizontal="center" vertical="center"/>
    </xf>
    <xf numFmtId="0" fontId="32" fillId="2" borderId="20" xfId="72" applyFont="1" applyFill="1" applyBorder="1" applyAlignment="1">
      <alignment horizontal="center" vertical="center" wrapText="1"/>
    </xf>
    <xf numFmtId="0" fontId="32" fillId="2" borderId="19" xfId="72" applyFont="1" applyFill="1" applyBorder="1" applyAlignment="1">
      <alignment horizontal="center" vertical="center" wrapText="1"/>
    </xf>
    <xf numFmtId="0" fontId="32" fillId="2" borderId="18" xfId="72" applyFont="1" applyFill="1" applyBorder="1" applyAlignment="1">
      <alignment horizontal="center" vertical="center" wrapText="1"/>
    </xf>
    <xf numFmtId="0" fontId="32" fillId="2" borderId="1" xfId="72" applyFont="1" applyFill="1" applyBorder="1" applyAlignment="1">
      <alignment horizontal="center" vertical="center" wrapText="1"/>
    </xf>
    <xf numFmtId="0" fontId="32" fillId="2" borderId="0" xfId="72" applyFont="1" applyFill="1" applyBorder="1" applyAlignment="1">
      <alignment horizontal="right" vertical="center"/>
    </xf>
    <xf numFmtId="0" fontId="32" fillId="2" borderId="0" xfId="72" applyFont="1" applyFill="1" applyAlignment="1">
      <alignment horizontal="right" vertical="center"/>
    </xf>
    <xf numFmtId="0" fontId="65" fillId="2" borderId="0" xfId="72" applyFont="1" applyFill="1" applyAlignment="1">
      <alignment horizontal="center" vertical="center"/>
    </xf>
    <xf numFmtId="0" fontId="68" fillId="2" borderId="0" xfId="72" applyFont="1" applyFill="1" applyAlignment="1">
      <alignment horizontal="center" vertical="center"/>
    </xf>
    <xf numFmtId="0" fontId="69" fillId="2" borderId="0" xfId="72" applyFont="1" applyFill="1" applyAlignment="1">
      <alignment horizontal="center" vertical="center"/>
    </xf>
    <xf numFmtId="0" fontId="32" fillId="2" borderId="0" xfId="72" applyFont="1" applyFill="1" applyAlignment="1">
      <alignment horizontal="left" vertical="center" wrapText="1"/>
    </xf>
    <xf numFmtId="0" fontId="43" fillId="2" borderId="8" xfId="2" applyFont="1" applyFill="1" applyBorder="1" applyAlignment="1">
      <alignment horizontal="center" vertical="center"/>
    </xf>
    <xf numFmtId="0" fontId="43" fillId="2" borderId="0" xfId="2" applyFont="1" applyFill="1" applyAlignment="1">
      <alignment horizontal="center" vertical="center"/>
    </xf>
    <xf numFmtId="0" fontId="38" fillId="0" borderId="3" xfId="42" applyNumberFormat="1" applyFont="1" applyBorder="1" applyAlignment="1">
      <alignment horizontal="right"/>
    </xf>
    <xf numFmtId="0" fontId="38" fillId="0" borderId="2" xfId="42" applyNumberFormat="1" applyFont="1" applyBorder="1" applyAlignment="1">
      <alignment horizontal="right"/>
    </xf>
    <xf numFmtId="49" fontId="38" fillId="0" borderId="21" xfId="42" applyNumberFormat="1" applyFont="1" applyBorder="1" applyAlignment="1">
      <alignment horizontal="left"/>
    </xf>
    <xf numFmtId="0" fontId="38" fillId="0" borderId="2" xfId="42" applyNumberFormat="1" applyFont="1" applyBorder="1" applyAlignment="1">
      <alignment horizontal="left"/>
    </xf>
    <xf numFmtId="0" fontId="38" fillId="0" borderId="28" xfId="42" applyNumberFormat="1" applyFont="1" applyBorder="1" applyAlignment="1">
      <alignment horizontal="left"/>
    </xf>
    <xf numFmtId="49" fontId="38" fillId="0" borderId="3" xfId="42" applyNumberFormat="1" applyFont="1" applyBorder="1" applyAlignment="1">
      <alignment horizontal="center" vertical="top"/>
    </xf>
    <xf numFmtId="49" fontId="38" fillId="0" borderId="2" xfId="42" applyNumberFormat="1" applyFont="1" applyBorder="1" applyAlignment="1">
      <alignment horizontal="center" vertical="top"/>
    </xf>
    <xf numFmtId="49" fontId="38" fillId="0" borderId="28" xfId="42" applyNumberFormat="1" applyFont="1" applyBorder="1" applyAlignment="1">
      <alignment horizontal="center" vertical="top"/>
    </xf>
    <xf numFmtId="0" fontId="44" fillId="0" borderId="0" xfId="42" applyNumberFormat="1" applyFont="1" applyBorder="1" applyAlignment="1">
      <alignment horizontal="center"/>
    </xf>
    <xf numFmtId="0" fontId="38" fillId="0" borderId="2" xfId="42" applyNumberFormat="1" applyFont="1" applyBorder="1" applyAlignment="1">
      <alignment horizontal="center" vertical="center" wrapText="1"/>
    </xf>
    <xf numFmtId="0" fontId="38" fillId="0" borderId="28" xfId="42" applyNumberFormat="1" applyFont="1" applyBorder="1" applyAlignment="1">
      <alignment horizontal="center" vertical="center" wrapText="1"/>
    </xf>
    <xf numFmtId="0" fontId="38" fillId="0" borderId="0" xfId="42" applyNumberFormat="1" applyFont="1" applyBorder="1" applyAlignment="1">
      <alignment horizontal="center" vertical="center" wrapText="1"/>
    </xf>
    <xf numFmtId="0" fontId="38" fillId="0" borderId="7" xfId="42" applyNumberFormat="1" applyFont="1" applyBorder="1" applyAlignment="1">
      <alignment horizontal="center" vertical="center" wrapText="1"/>
    </xf>
    <xf numFmtId="0" fontId="38" fillId="0" borderId="4" xfId="42" applyNumberFormat="1" applyFont="1" applyBorder="1" applyAlignment="1">
      <alignment horizontal="center" vertical="center" wrapText="1"/>
    </xf>
    <xf numFmtId="0" fontId="38" fillId="0" borderId="26" xfId="42" applyNumberFormat="1" applyFont="1" applyBorder="1" applyAlignment="1">
      <alignment horizontal="center" vertical="center" wrapText="1"/>
    </xf>
    <xf numFmtId="0" fontId="38" fillId="0" borderId="3" xfId="42" applyNumberFormat="1" applyFont="1" applyBorder="1" applyAlignment="1">
      <alignment horizontal="center" vertical="center"/>
    </xf>
    <xf numFmtId="0" fontId="38" fillId="0" borderId="2" xfId="42" applyNumberFormat="1" applyFont="1" applyBorder="1" applyAlignment="1">
      <alignment horizontal="center" vertical="center"/>
    </xf>
    <xf numFmtId="0" fontId="38" fillId="0" borderId="28" xfId="42" applyNumberFormat="1" applyFont="1" applyBorder="1" applyAlignment="1">
      <alignment horizontal="center" vertical="center"/>
    </xf>
    <xf numFmtId="0" fontId="38" fillId="0" borderId="8" xfId="42" applyNumberFormat="1" applyFont="1" applyBorder="1" applyAlignment="1">
      <alignment horizontal="center" vertical="center"/>
    </xf>
    <xf numFmtId="0" fontId="38" fillId="0" borderId="0" xfId="42" applyNumberFormat="1" applyFont="1" applyBorder="1" applyAlignment="1">
      <alignment horizontal="center" vertical="center"/>
    </xf>
    <xf numFmtId="0" fontId="38" fillId="0" borderId="7" xfId="42" applyNumberFormat="1" applyFont="1" applyBorder="1" applyAlignment="1">
      <alignment horizontal="center" vertical="center"/>
    </xf>
    <xf numFmtId="0" fontId="38" fillId="0" borderId="27" xfId="42" applyNumberFormat="1" applyFont="1" applyBorder="1" applyAlignment="1">
      <alignment horizontal="center" vertical="center"/>
    </xf>
    <xf numFmtId="0" fontId="38" fillId="0" borderId="4" xfId="42" applyNumberFormat="1" applyFont="1" applyBorder="1" applyAlignment="1">
      <alignment horizontal="center" vertical="center"/>
    </xf>
    <xf numFmtId="0" fontId="38" fillId="0" borderId="26" xfId="42" applyNumberFormat="1" applyFont="1" applyBorder="1" applyAlignment="1">
      <alignment horizontal="center" vertical="center"/>
    </xf>
    <xf numFmtId="0" fontId="38" fillId="0" borderId="3" xfId="42" applyNumberFormat="1" applyFont="1" applyBorder="1" applyAlignment="1">
      <alignment horizontal="center" vertical="center" wrapText="1"/>
    </xf>
    <xf numFmtId="0" fontId="38" fillId="0" borderId="8" xfId="42" applyNumberFormat="1" applyFont="1" applyBorder="1" applyAlignment="1">
      <alignment horizontal="center" vertical="center" wrapText="1"/>
    </xf>
    <xf numFmtId="0" fontId="38" fillId="0" borderId="27" xfId="42" applyNumberFormat="1" applyFont="1" applyBorder="1" applyAlignment="1">
      <alignment horizontal="center" vertical="center" wrapText="1"/>
    </xf>
    <xf numFmtId="0" fontId="38" fillId="0" borderId="17" xfId="42" applyNumberFormat="1" applyFont="1" applyBorder="1" applyAlignment="1">
      <alignment horizontal="center" vertical="center"/>
    </xf>
    <xf numFmtId="0" fontId="38" fillId="0" borderId="21" xfId="42" applyNumberFormat="1" applyFont="1" applyBorder="1" applyAlignment="1">
      <alignment horizontal="center" vertical="center"/>
    </xf>
    <xf numFmtId="0" fontId="38" fillId="0" borderId="27" xfId="42" applyNumberFormat="1" applyFont="1" applyBorder="1" applyAlignment="1">
      <alignment horizontal="center" vertical="top" wrapText="1"/>
    </xf>
    <xf numFmtId="0" fontId="38" fillId="0" borderId="4" xfId="42" applyNumberFormat="1" applyFont="1" applyBorder="1" applyAlignment="1">
      <alignment horizontal="center" vertical="top" wrapText="1"/>
    </xf>
    <xf numFmtId="0" fontId="38" fillId="0" borderId="26" xfId="42" applyNumberFormat="1" applyFont="1" applyBorder="1" applyAlignment="1">
      <alignment horizontal="center" vertical="top" wrapText="1"/>
    </xf>
    <xf numFmtId="49" fontId="38" fillId="0" borderId="21" xfId="42" applyNumberFormat="1" applyFont="1" applyBorder="1" applyAlignment="1">
      <alignment horizontal="center" vertical="top"/>
    </xf>
    <xf numFmtId="49" fontId="38" fillId="0" borderId="22" xfId="42" applyNumberFormat="1" applyFont="1" applyBorder="1" applyAlignment="1">
      <alignment horizontal="center" vertical="top"/>
    </xf>
    <xf numFmtId="49" fontId="38" fillId="0" borderId="17" xfId="42" applyNumberFormat="1" applyFont="1" applyBorder="1" applyAlignment="1">
      <alignment horizontal="center" vertical="top"/>
    </xf>
    <xf numFmtId="0" fontId="38" fillId="0" borderId="30" xfId="42" applyNumberFormat="1" applyFont="1" applyBorder="1" applyAlignment="1">
      <alignment horizontal="center"/>
    </xf>
    <xf numFmtId="0" fontId="38" fillId="0" borderId="0" xfId="42" applyNumberFormat="1" applyFont="1" applyBorder="1" applyAlignment="1">
      <alignment horizontal="center"/>
    </xf>
    <xf numFmtId="49" fontId="38" fillId="2" borderId="21" xfId="42" applyNumberFormat="1" applyFont="1" applyFill="1" applyBorder="1" applyAlignment="1">
      <alignment horizontal="center"/>
    </xf>
    <xf numFmtId="49" fontId="38" fillId="2" borderId="22" xfId="42" applyNumberFormat="1" applyFont="1" applyFill="1" applyBorder="1" applyAlignment="1">
      <alignment horizontal="center"/>
    </xf>
    <xf numFmtId="0" fontId="38" fillId="2" borderId="17" xfId="42" applyNumberFormat="1" applyFont="1" applyFill="1" applyBorder="1" applyAlignment="1">
      <alignment horizontal="left" wrapText="1" indent="1"/>
    </xf>
    <xf numFmtId="0" fontId="38" fillId="2" borderId="21" xfId="42" applyNumberFormat="1" applyFont="1" applyFill="1" applyBorder="1" applyAlignment="1">
      <alignment horizontal="left" wrapText="1" indent="1"/>
    </xf>
    <xf numFmtId="0" fontId="38" fillId="2" borderId="31" xfId="42" applyNumberFormat="1" applyFont="1" applyFill="1" applyBorder="1" applyAlignment="1">
      <alignment horizontal="left" wrapText="1" indent="1"/>
    </xf>
    <xf numFmtId="49" fontId="38" fillId="2" borderId="6" xfId="42" applyNumberFormat="1" applyFont="1" applyFill="1" applyBorder="1" applyAlignment="1">
      <alignment horizontal="center"/>
    </xf>
    <xf numFmtId="49" fontId="38" fillId="2" borderId="17" xfId="42" applyNumberFormat="1" applyFont="1" applyFill="1" applyBorder="1" applyAlignment="1">
      <alignment horizontal="center"/>
    </xf>
    <xf numFmtId="49" fontId="38" fillId="0" borderId="1" xfId="42" applyNumberFormat="1" applyFont="1" applyFill="1" applyBorder="1" applyAlignment="1">
      <alignment horizontal="center"/>
    </xf>
    <xf numFmtId="4" fontId="38" fillId="0" borderId="17" xfId="42" applyNumberFormat="1" applyFont="1" applyFill="1" applyBorder="1" applyAlignment="1">
      <alignment horizontal="center"/>
    </xf>
    <xf numFmtId="4" fontId="38" fillId="0" borderId="21" xfId="42" applyNumberFormat="1" applyFont="1" applyFill="1" applyBorder="1" applyAlignment="1">
      <alignment horizontal="center"/>
    </xf>
    <xf numFmtId="4" fontId="38" fillId="0" borderId="22" xfId="42" applyNumberFormat="1" applyFont="1" applyFill="1" applyBorder="1" applyAlignment="1">
      <alignment horizontal="center"/>
    </xf>
    <xf numFmtId="4" fontId="38" fillId="2" borderId="17" xfId="42" applyNumberFormat="1" applyFont="1" applyFill="1" applyBorder="1" applyAlignment="1">
      <alignment horizontal="center"/>
    </xf>
    <xf numFmtId="4" fontId="38" fillId="2" borderId="21" xfId="42" applyNumberFormat="1" applyFont="1" applyFill="1" applyBorder="1" applyAlignment="1">
      <alignment horizontal="center"/>
    </xf>
    <xf numFmtId="4" fontId="38" fillId="2" borderId="31" xfId="42" applyNumberFormat="1" applyFont="1" applyFill="1" applyBorder="1" applyAlignment="1">
      <alignment horizontal="center"/>
    </xf>
    <xf numFmtId="49" fontId="44" fillId="2" borderId="21" xfId="42" applyNumberFormat="1" applyFont="1" applyFill="1" applyBorder="1" applyAlignment="1">
      <alignment horizontal="center"/>
    </xf>
    <xf numFmtId="49" fontId="44" fillId="2" borderId="22" xfId="42" applyNumberFormat="1" applyFont="1" applyFill="1" applyBorder="1" applyAlignment="1">
      <alignment horizontal="center"/>
    </xf>
    <xf numFmtId="0" fontId="44" fillId="2" borderId="17" xfId="42" applyNumberFormat="1" applyFont="1" applyFill="1" applyBorder="1" applyAlignment="1">
      <alignment horizontal="left"/>
    </xf>
    <xf numFmtId="0" fontId="44" fillId="2" borderId="21" xfId="42" applyNumberFormat="1" applyFont="1" applyFill="1" applyBorder="1" applyAlignment="1">
      <alignment horizontal="left"/>
    </xf>
    <xf numFmtId="0" fontId="44" fillId="2" borderId="31" xfId="42" applyNumberFormat="1" applyFont="1" applyFill="1" applyBorder="1" applyAlignment="1">
      <alignment horizontal="left"/>
    </xf>
    <xf numFmtId="49" fontId="44" fillId="2" borderId="5" xfId="42" applyNumberFormat="1" applyFont="1" applyFill="1" applyBorder="1" applyAlignment="1">
      <alignment horizontal="center"/>
    </xf>
    <xf numFmtId="49" fontId="44" fillId="2" borderId="29" xfId="42" applyNumberFormat="1" applyFont="1" applyFill="1" applyBorder="1" applyAlignment="1">
      <alignment horizontal="center"/>
    </xf>
    <xf numFmtId="49" fontId="44" fillId="2" borderId="24" xfId="42" applyNumberFormat="1" applyFont="1" applyFill="1" applyBorder="1" applyAlignment="1">
      <alignment horizontal="center"/>
    </xf>
    <xf numFmtId="49" fontId="38" fillId="2" borderId="25" xfId="42" applyNumberFormat="1" applyFont="1" applyFill="1" applyBorder="1" applyAlignment="1">
      <alignment horizontal="center"/>
    </xf>
    <xf numFmtId="49" fontId="38" fillId="2" borderId="29" xfId="42" applyNumberFormat="1" applyFont="1" applyFill="1" applyBorder="1" applyAlignment="1">
      <alignment horizontal="center"/>
    </xf>
    <xf numFmtId="49" fontId="38" fillId="2" borderId="24" xfId="42" applyNumberFormat="1" applyFont="1" applyFill="1" applyBorder="1" applyAlignment="1">
      <alignment horizontal="center"/>
    </xf>
    <xf numFmtId="49" fontId="38" fillId="2" borderId="38" xfId="42" applyNumberFormat="1" applyFont="1" applyFill="1" applyBorder="1" applyAlignment="1">
      <alignment horizontal="center"/>
    </xf>
    <xf numFmtId="4" fontId="44" fillId="2" borderId="25" xfId="42" applyNumberFormat="1" applyFont="1" applyFill="1" applyBorder="1" applyAlignment="1">
      <alignment horizontal="center"/>
    </xf>
    <xf numFmtId="4" fontId="44" fillId="2" borderId="29" xfId="42" applyNumberFormat="1" applyFont="1" applyFill="1" applyBorder="1" applyAlignment="1">
      <alignment horizontal="center"/>
    </xf>
    <xf numFmtId="4" fontId="44" fillId="2" borderId="24" xfId="42" applyNumberFormat="1" applyFont="1" applyFill="1" applyBorder="1" applyAlignment="1">
      <alignment horizontal="center"/>
    </xf>
    <xf numFmtId="4" fontId="38" fillId="2" borderId="25" xfId="42" applyNumberFormat="1" applyFont="1" applyFill="1" applyBorder="1" applyAlignment="1">
      <alignment horizontal="center"/>
    </xf>
    <xf numFmtId="4" fontId="38" fillId="2" borderId="29" xfId="42" applyNumberFormat="1" applyFont="1" applyFill="1" applyBorder="1" applyAlignment="1">
      <alignment horizontal="center"/>
    </xf>
    <xf numFmtId="4" fontId="38" fillId="2" borderId="23" xfId="42" applyNumberFormat="1" applyFont="1" applyFill="1" applyBorder="1" applyAlignment="1">
      <alignment horizontal="center"/>
    </xf>
    <xf numFmtId="2" fontId="38" fillId="2" borderId="17" xfId="42" applyNumberFormat="1" applyFont="1" applyFill="1" applyBorder="1" applyAlignment="1">
      <alignment horizontal="left" wrapText="1"/>
    </xf>
    <xf numFmtId="2" fontId="38" fillId="2" borderId="21" xfId="42" applyNumberFormat="1" applyFont="1" applyFill="1" applyBorder="1" applyAlignment="1">
      <alignment horizontal="left" wrapText="1"/>
    </xf>
    <xf numFmtId="2" fontId="38" fillId="2" borderId="31" xfId="42" applyNumberFormat="1" applyFont="1" applyFill="1" applyBorder="1" applyAlignment="1">
      <alignment horizontal="left" wrapText="1"/>
    </xf>
    <xf numFmtId="49" fontId="38" fillId="0" borderId="17" xfId="42" applyNumberFormat="1" applyFont="1" applyFill="1" applyBorder="1" applyAlignment="1">
      <alignment horizontal="center"/>
    </xf>
    <xf numFmtId="49" fontId="38" fillId="0" borderId="21" xfId="42" applyNumberFormat="1" applyFont="1" applyFill="1" applyBorder="1" applyAlignment="1">
      <alignment horizontal="center"/>
    </xf>
    <xf numFmtId="49" fontId="38" fillId="0" borderId="22" xfId="42" applyNumberFormat="1" applyFont="1" applyFill="1" applyBorder="1" applyAlignment="1">
      <alignment horizontal="center"/>
    </xf>
    <xf numFmtId="0" fontId="38" fillId="2" borderId="17" xfId="42" applyNumberFormat="1" applyFont="1" applyFill="1" applyBorder="1" applyAlignment="1">
      <alignment horizontal="left" vertical="top" wrapText="1"/>
    </xf>
    <xf numFmtId="0" fontId="38" fillId="2" borderId="21" xfId="42" applyNumberFormat="1" applyFont="1" applyFill="1" applyBorder="1" applyAlignment="1">
      <alignment horizontal="left" vertical="top" wrapText="1"/>
    </xf>
    <xf numFmtId="0" fontId="38" fillId="2" borderId="31" xfId="42" applyNumberFormat="1" applyFont="1" applyFill="1" applyBorder="1" applyAlignment="1">
      <alignment horizontal="left" vertical="top" wrapText="1"/>
    </xf>
    <xf numFmtId="0" fontId="38" fillId="0" borderId="17" xfId="42" applyFont="1" applyFill="1" applyBorder="1" applyAlignment="1">
      <alignment horizontal="center"/>
    </xf>
    <xf numFmtId="0" fontId="38" fillId="0" borderId="21" xfId="42" applyFont="1" applyFill="1" applyBorder="1" applyAlignment="1">
      <alignment horizontal="center"/>
    </xf>
    <xf numFmtId="0" fontId="38" fillId="0" borderId="22" xfId="42" applyFont="1" applyFill="1" applyBorder="1" applyAlignment="1">
      <alignment horizontal="center"/>
    </xf>
    <xf numFmtId="0" fontId="38" fillId="2" borderId="17" xfId="42" applyNumberFormat="1" applyFont="1" applyFill="1" applyBorder="1" applyAlignment="1">
      <alignment horizontal="left" wrapText="1" indent="2"/>
    </xf>
    <xf numFmtId="0" fontId="38" fillId="2" borderId="21" xfId="42" applyNumberFormat="1" applyFont="1" applyFill="1" applyBorder="1" applyAlignment="1">
      <alignment horizontal="left" wrapText="1" indent="2"/>
    </xf>
    <xf numFmtId="0" fontId="38" fillId="2" borderId="31" xfId="42" applyNumberFormat="1" applyFont="1" applyFill="1" applyBorder="1" applyAlignment="1">
      <alignment horizontal="left" wrapText="1" indent="2"/>
    </xf>
    <xf numFmtId="0" fontId="38" fillId="2" borderId="17" xfId="42" applyNumberFormat="1" applyFont="1" applyFill="1" applyBorder="1" applyAlignment="1">
      <alignment horizontal="left" wrapText="1" indent="3"/>
    </xf>
    <xf numFmtId="0" fontId="38" fillId="2" borderId="21" xfId="42" applyNumberFormat="1" applyFont="1" applyFill="1" applyBorder="1" applyAlignment="1">
      <alignment horizontal="left" wrapText="1" indent="3"/>
    </xf>
    <xf numFmtId="0" fontId="38" fillId="2" borderId="31" xfId="42" applyNumberFormat="1" applyFont="1" applyFill="1" applyBorder="1" applyAlignment="1">
      <alignment horizontal="left" wrapText="1" indent="3"/>
    </xf>
    <xf numFmtId="49" fontId="38" fillId="0" borderId="17" xfId="42" applyNumberFormat="1" applyFont="1" applyFill="1" applyBorder="1" applyAlignment="1">
      <alignment horizontal="center" wrapText="1"/>
    </xf>
    <xf numFmtId="11" fontId="38" fillId="2" borderId="17" xfId="42" applyNumberFormat="1" applyFont="1" applyFill="1" applyBorder="1" applyAlignment="1">
      <alignment horizontal="left" wrapText="1"/>
    </xf>
    <xf numFmtId="11" fontId="38" fillId="2" borderId="21" xfId="42" applyNumberFormat="1" applyFont="1" applyFill="1" applyBorder="1" applyAlignment="1">
      <alignment horizontal="left" wrapText="1"/>
    </xf>
    <xf numFmtId="11" fontId="38" fillId="2" borderId="31" xfId="42" applyNumberFormat="1" applyFont="1" applyFill="1" applyBorder="1" applyAlignment="1">
      <alignment horizontal="left" wrapText="1"/>
    </xf>
    <xf numFmtId="0" fontId="38" fillId="2" borderId="17" xfId="42" applyNumberFormat="1" applyFont="1" applyFill="1" applyBorder="1" applyAlignment="1">
      <alignment horizontal="left" wrapText="1"/>
    </xf>
    <xf numFmtId="0" fontId="38" fillId="2" borderId="21" xfId="42" applyNumberFormat="1" applyFont="1" applyFill="1" applyBorder="1" applyAlignment="1">
      <alignment horizontal="left" wrapText="1"/>
    </xf>
    <xf numFmtId="0" fontId="38" fillId="2" borderId="31" xfId="42" applyNumberFormat="1" applyFont="1" applyFill="1" applyBorder="1" applyAlignment="1">
      <alignment horizontal="left" wrapText="1"/>
    </xf>
    <xf numFmtId="4" fontId="44" fillId="2" borderId="17" xfId="42" applyNumberFormat="1" applyFont="1" applyFill="1" applyBorder="1" applyAlignment="1">
      <alignment horizontal="center"/>
    </xf>
    <xf numFmtId="4" fontId="44" fillId="2" borderId="21" xfId="42" applyNumberFormat="1" applyFont="1" applyFill="1" applyBorder="1" applyAlignment="1">
      <alignment horizontal="center"/>
    </xf>
    <xf numFmtId="4" fontId="44" fillId="2" borderId="22" xfId="42" applyNumberFormat="1" applyFont="1" applyFill="1" applyBorder="1" applyAlignment="1">
      <alignment horizontal="center"/>
    </xf>
    <xf numFmtId="49" fontId="38" fillId="2" borderId="2" xfId="42" applyNumberFormat="1" applyFont="1" applyFill="1" applyBorder="1" applyAlignment="1">
      <alignment horizontal="center"/>
    </xf>
    <xf numFmtId="49" fontId="38" fillId="2" borderId="28" xfId="42" applyNumberFormat="1" applyFont="1" applyFill="1" applyBorder="1" applyAlignment="1">
      <alignment horizontal="center"/>
    </xf>
    <xf numFmtId="49" fontId="38" fillId="2" borderId="4" xfId="42" applyNumberFormat="1" applyFont="1" applyFill="1" applyBorder="1" applyAlignment="1">
      <alignment horizontal="center"/>
    </xf>
    <xf numFmtId="49" fontId="38" fillId="2" borderId="26" xfId="42" applyNumberFormat="1" applyFont="1" applyFill="1" applyBorder="1" applyAlignment="1">
      <alignment horizontal="center"/>
    </xf>
    <xf numFmtId="0" fontId="38" fillId="2" borderId="3" xfId="42" applyNumberFormat="1" applyFont="1" applyFill="1" applyBorder="1" applyAlignment="1">
      <alignment horizontal="left" wrapText="1" indent="4"/>
    </xf>
    <xf numFmtId="0" fontId="38" fillId="2" borderId="2" xfId="42" applyNumberFormat="1" applyFont="1" applyFill="1" applyBorder="1" applyAlignment="1">
      <alignment horizontal="left" wrapText="1" indent="4"/>
    </xf>
    <xf numFmtId="0" fontId="38" fillId="2" borderId="32" xfId="42" applyNumberFormat="1" applyFont="1" applyFill="1" applyBorder="1" applyAlignment="1">
      <alignment horizontal="left" wrapText="1" indent="4"/>
    </xf>
    <xf numFmtId="49" fontId="38" fillId="2" borderId="33" xfId="42" applyNumberFormat="1" applyFont="1" applyFill="1" applyBorder="1" applyAlignment="1">
      <alignment horizontal="center"/>
    </xf>
    <xf numFmtId="49" fontId="38" fillId="2" borderId="40" xfId="42" applyNumberFormat="1" applyFont="1" applyFill="1" applyBorder="1" applyAlignment="1">
      <alignment horizontal="center"/>
    </xf>
    <xf numFmtId="49" fontId="38" fillId="2" borderId="3" xfId="42" applyNumberFormat="1" applyFont="1" applyFill="1" applyBorder="1" applyAlignment="1">
      <alignment horizontal="center"/>
    </xf>
    <xf numFmtId="49" fontId="38" fillId="2" borderId="27" xfId="42" applyNumberFormat="1" applyFont="1" applyFill="1" applyBorder="1" applyAlignment="1">
      <alignment horizontal="center"/>
    </xf>
    <xf numFmtId="4" fontId="38" fillId="0" borderId="3" xfId="42" applyNumberFormat="1" applyFont="1" applyFill="1" applyBorder="1" applyAlignment="1">
      <alignment horizontal="center"/>
    </xf>
    <xf numFmtId="4" fontId="38" fillId="0" borderId="2" xfId="42" applyNumberFormat="1" applyFont="1" applyFill="1" applyBorder="1" applyAlignment="1">
      <alignment horizontal="center"/>
    </xf>
    <xf numFmtId="4" fontId="38" fillId="0" borderId="28" xfId="42" applyNumberFormat="1" applyFont="1" applyFill="1" applyBorder="1" applyAlignment="1">
      <alignment horizontal="center"/>
    </xf>
    <xf numFmtId="4" fontId="38" fillId="0" borderId="27" xfId="42" applyNumberFormat="1" applyFont="1" applyFill="1" applyBorder="1" applyAlignment="1">
      <alignment horizontal="center"/>
    </xf>
    <xf numFmtId="4" fontId="38" fillId="0" borderId="4" xfId="42" applyNumberFormat="1" applyFont="1" applyFill="1" applyBorder="1" applyAlignment="1">
      <alignment horizontal="center"/>
    </xf>
    <xf numFmtId="4" fontId="38" fillId="0" borderId="26" xfId="42" applyNumberFormat="1" applyFont="1" applyFill="1" applyBorder="1" applyAlignment="1">
      <alignment horizontal="center"/>
    </xf>
    <xf numFmtId="0" fontId="38" fillId="2" borderId="3" xfId="42" applyNumberFormat="1" applyFont="1" applyFill="1" applyBorder="1" applyAlignment="1">
      <alignment horizontal="center"/>
    </xf>
    <xf numFmtId="0" fontId="38" fillId="2" borderId="2" xfId="42" applyNumberFormat="1" applyFont="1" applyFill="1" applyBorder="1" applyAlignment="1">
      <alignment horizontal="center"/>
    </xf>
    <xf numFmtId="0" fontId="38" fillId="2" borderId="32" xfId="42" applyNumberFormat="1" applyFont="1" applyFill="1" applyBorder="1" applyAlignment="1">
      <alignment horizontal="center"/>
    </xf>
    <xf numFmtId="0" fontId="38" fillId="2" borderId="27" xfId="42" applyNumberFormat="1" applyFont="1" applyFill="1" applyBorder="1" applyAlignment="1">
      <alignment horizontal="center"/>
    </xf>
    <xf numFmtId="0" fontId="38" fillId="2" borderId="4" xfId="42" applyNumberFormat="1" applyFont="1" applyFill="1" applyBorder="1" applyAlignment="1">
      <alignment horizontal="center"/>
    </xf>
    <xf numFmtId="0" fontId="38" fillId="2" borderId="39" xfId="42" applyNumberFormat="1" applyFont="1" applyFill="1" applyBorder="1" applyAlignment="1">
      <alignment horizontal="center"/>
    </xf>
    <xf numFmtId="0" fontId="38" fillId="2" borderId="27" xfId="42" applyNumberFormat="1" applyFont="1" applyFill="1" applyBorder="1" applyAlignment="1">
      <alignment horizontal="center" wrapText="1"/>
    </xf>
    <xf numFmtId="0" fontId="38" fillId="2" borderId="4" xfId="42" applyNumberFormat="1" applyFont="1" applyFill="1" applyBorder="1" applyAlignment="1">
      <alignment horizontal="center" wrapText="1"/>
    </xf>
    <xf numFmtId="0" fontId="38" fillId="2" borderId="39" xfId="42" applyNumberFormat="1" applyFont="1" applyFill="1" applyBorder="1" applyAlignment="1">
      <alignment horizontal="center" wrapText="1"/>
    </xf>
    <xf numFmtId="0" fontId="38" fillId="2" borderId="17" xfId="42" applyNumberFormat="1" applyFont="1" applyFill="1" applyBorder="1" applyAlignment="1">
      <alignment horizontal="center"/>
    </xf>
    <xf numFmtId="0" fontId="38" fillId="2" borderId="21" xfId="42" applyNumberFormat="1" applyFont="1" applyFill="1" applyBorder="1" applyAlignment="1">
      <alignment horizontal="center"/>
    </xf>
    <xf numFmtId="0" fontId="38" fillId="2" borderId="31" xfId="42" applyNumberFormat="1" applyFont="1" applyFill="1" applyBorder="1" applyAlignment="1">
      <alignment horizontal="center"/>
    </xf>
    <xf numFmtId="0" fontId="38" fillId="2" borderId="17" xfId="42" applyNumberFormat="1" applyFont="1" applyFill="1" applyBorder="1" applyAlignment="1">
      <alignment horizontal="center" wrapText="1"/>
    </xf>
    <xf numFmtId="0" fontId="38" fillId="2" borderId="21" xfId="42" applyNumberFormat="1" applyFont="1" applyFill="1" applyBorder="1" applyAlignment="1">
      <alignment horizontal="center" wrapText="1"/>
    </xf>
    <xf numFmtId="0" fontId="38" fillId="2" borderId="31" xfId="42" applyNumberFormat="1" applyFont="1" applyFill="1" applyBorder="1" applyAlignment="1">
      <alignment horizontal="center" wrapText="1"/>
    </xf>
    <xf numFmtId="4" fontId="38" fillId="2" borderId="3" xfId="42" applyNumberFormat="1" applyFont="1" applyFill="1" applyBorder="1" applyAlignment="1">
      <alignment horizontal="center"/>
    </xf>
    <xf numFmtId="4" fontId="38" fillId="2" borderId="2" xfId="42" applyNumberFormat="1" applyFont="1" applyFill="1" applyBorder="1" applyAlignment="1">
      <alignment horizontal="center"/>
    </xf>
    <xf numFmtId="4" fontId="38" fillId="2" borderId="28" xfId="42" applyNumberFormat="1" applyFont="1" applyFill="1" applyBorder="1" applyAlignment="1">
      <alignment horizontal="center"/>
    </xf>
    <xf numFmtId="4" fontId="38" fillId="2" borderId="27" xfId="42" applyNumberFormat="1" applyFont="1" applyFill="1" applyBorder="1" applyAlignment="1">
      <alignment horizontal="center"/>
    </xf>
    <xf numFmtId="4" fontId="38" fillId="2" borderId="4" xfId="42" applyNumberFormat="1" applyFont="1" applyFill="1" applyBorder="1" applyAlignment="1">
      <alignment horizontal="center"/>
    </xf>
    <xf numFmtId="4" fontId="38" fillId="2" borderId="26" xfId="42" applyNumberFormat="1" applyFont="1" applyFill="1" applyBorder="1" applyAlignment="1">
      <alignment horizontal="center"/>
    </xf>
    <xf numFmtId="0" fontId="38" fillId="2" borderId="27" xfId="42" applyNumberFormat="1" applyFont="1" applyFill="1" applyBorder="1" applyAlignment="1">
      <alignment horizontal="left" wrapText="1" indent="4"/>
    </xf>
    <xf numFmtId="0" fontId="38" fillId="2" borderId="4" xfId="42" applyNumberFormat="1" applyFont="1" applyFill="1" applyBorder="1" applyAlignment="1">
      <alignment horizontal="left" wrapText="1" indent="4"/>
    </xf>
    <xf numFmtId="0" fontId="38" fillId="2" borderId="39" xfId="42" applyNumberFormat="1" applyFont="1" applyFill="1" applyBorder="1" applyAlignment="1">
      <alignment horizontal="left" wrapText="1" indent="4"/>
    </xf>
    <xf numFmtId="49" fontId="38" fillId="2" borderId="41" xfId="42" applyNumberFormat="1" applyFont="1" applyFill="1" applyBorder="1" applyAlignment="1">
      <alignment horizontal="center"/>
    </xf>
    <xf numFmtId="49" fontId="38" fillId="2" borderId="42" xfId="42" applyNumberFormat="1" applyFont="1" applyFill="1" applyBorder="1" applyAlignment="1">
      <alignment horizontal="center"/>
    </xf>
    <xf numFmtId="49" fontId="38" fillId="2" borderId="43" xfId="42" applyNumberFormat="1" applyFont="1" applyFill="1" applyBorder="1" applyAlignment="1">
      <alignment horizontal="center"/>
    </xf>
    <xf numFmtId="49" fontId="38" fillId="2" borderId="44" xfId="42" applyNumberFormat="1" applyFont="1" applyFill="1" applyBorder="1" applyAlignment="1">
      <alignment horizontal="center"/>
    </xf>
    <xf numFmtId="4" fontId="38" fillId="0" borderId="44" xfId="42" applyNumberFormat="1" applyFont="1" applyFill="1" applyBorder="1" applyAlignment="1">
      <alignment horizontal="center"/>
    </xf>
    <xf numFmtId="4" fontId="38" fillId="0" borderId="42" xfId="42" applyNumberFormat="1" applyFont="1" applyFill="1" applyBorder="1" applyAlignment="1">
      <alignment horizontal="center"/>
    </xf>
    <xf numFmtId="4" fontId="38" fillId="0" borderId="43" xfId="42" applyNumberFormat="1" applyFont="1" applyFill="1" applyBorder="1" applyAlignment="1">
      <alignment horizontal="center"/>
    </xf>
    <xf numFmtId="0" fontId="38" fillId="0" borderId="4" xfId="42" applyNumberFormat="1" applyFont="1" applyBorder="1" applyAlignment="1">
      <alignment horizontal="center"/>
    </xf>
    <xf numFmtId="49" fontId="38" fillId="0" borderId="4" xfId="42" applyNumberFormat="1" applyFont="1" applyBorder="1" applyAlignment="1">
      <alignment horizontal="center"/>
    </xf>
    <xf numFmtId="0" fontId="47" fillId="0" borderId="2" xfId="42" applyNumberFormat="1" applyFont="1" applyBorder="1" applyAlignment="1">
      <alignment horizontal="center" vertical="top"/>
    </xf>
    <xf numFmtId="0" fontId="38" fillId="0" borderId="34" xfId="42" applyNumberFormat="1" applyFont="1" applyBorder="1" applyAlignment="1">
      <alignment horizontal="center"/>
    </xf>
    <xf numFmtId="0" fontId="38" fillId="0" borderId="35" xfId="42" applyNumberFormat="1" applyFont="1" applyBorder="1" applyAlignment="1">
      <alignment horizontal="center"/>
    </xf>
    <xf numFmtId="0" fontId="47" fillId="0" borderId="36" xfId="42" applyNumberFormat="1" applyFont="1" applyBorder="1" applyAlignment="1">
      <alignment horizontal="center" vertical="top"/>
    </xf>
    <xf numFmtId="0" fontId="47" fillId="0" borderId="37" xfId="42" applyNumberFormat="1" applyFont="1" applyBorder="1" applyAlignment="1">
      <alignment horizontal="center" vertical="top"/>
    </xf>
    <xf numFmtId="0" fontId="38" fillId="0" borderId="0" xfId="42" applyNumberFormat="1" applyFont="1" applyBorder="1" applyAlignment="1">
      <alignment horizontal="right"/>
    </xf>
    <xf numFmtId="0" fontId="38" fillId="0" borderId="0" xfId="42" applyNumberFormat="1" applyFont="1" applyBorder="1" applyAlignment="1">
      <alignment horizontal="left"/>
    </xf>
    <xf numFmtId="49" fontId="38" fillId="0" borderId="4" xfId="42" applyNumberFormat="1" applyFont="1" applyBorder="1" applyAlignment="1">
      <alignment horizontal="left"/>
    </xf>
    <xf numFmtId="0" fontId="48" fillId="0" borderId="0" xfId="42" applyNumberFormat="1" applyFont="1" applyBorder="1" applyAlignment="1">
      <alignment horizontal="left"/>
    </xf>
    <xf numFmtId="0" fontId="48" fillId="0" borderId="0" xfId="42" applyNumberFormat="1" applyFont="1" applyBorder="1" applyAlignment="1">
      <alignment horizontal="justify" vertical="top"/>
    </xf>
    <xf numFmtId="0" fontId="48" fillId="0" borderId="0" xfId="42" applyNumberFormat="1" applyFont="1" applyBorder="1" applyAlignment="1">
      <alignment horizontal="justify" wrapText="1"/>
    </xf>
    <xf numFmtId="0" fontId="48" fillId="0" borderId="0" xfId="42" applyNumberFormat="1" applyFont="1" applyBorder="1" applyAlignment="1">
      <alignment horizontal="justify"/>
    </xf>
    <xf numFmtId="0" fontId="38" fillId="0" borderId="11" xfId="42" applyNumberFormat="1" applyFont="1" applyBorder="1" applyAlignment="1">
      <alignment horizontal="right"/>
    </xf>
    <xf numFmtId="169" fontId="59" fillId="2" borderId="20" xfId="0" applyNumberFormat="1" applyFont="1" applyFill="1" applyBorder="1" applyAlignment="1">
      <alignment horizontal="center" vertical="center" wrapText="1"/>
    </xf>
    <xf numFmtId="169" fontId="59" fillId="2" borderId="19" xfId="0" applyNumberFormat="1" applyFont="1" applyFill="1" applyBorder="1" applyAlignment="1">
      <alignment horizontal="center" vertical="center" wrapText="1"/>
    </xf>
    <xf numFmtId="169" fontId="59" fillId="2" borderId="18" xfId="0" applyNumberFormat="1" applyFont="1" applyFill="1" applyBorder="1" applyAlignment="1">
      <alignment horizontal="center" vertical="center" wrapText="1"/>
    </xf>
    <xf numFmtId="0" fontId="56" fillId="2" borderId="1" xfId="0" applyFont="1" applyFill="1" applyBorder="1" applyAlignment="1">
      <alignment horizontal="center" vertical="center" wrapText="1"/>
    </xf>
    <xf numFmtId="0" fontId="63" fillId="2" borderId="1" xfId="0" applyFont="1" applyFill="1" applyBorder="1" applyAlignment="1">
      <alignment horizontal="center" vertical="center" wrapText="1"/>
    </xf>
    <xf numFmtId="0" fontId="9" fillId="2" borderId="1" xfId="36" applyFont="1" applyFill="1" applyBorder="1" applyAlignment="1">
      <alignment horizontal="center" vertical="center" textRotation="90" wrapText="1"/>
    </xf>
    <xf numFmtId="169" fontId="9" fillId="2" borderId="20" xfId="0" applyNumberFormat="1" applyFont="1" applyFill="1" applyBorder="1" applyAlignment="1">
      <alignment horizontal="center" vertical="center" wrapText="1"/>
    </xf>
    <xf numFmtId="169" fontId="9" fillId="2" borderId="19" xfId="0" applyNumberFormat="1" applyFont="1" applyFill="1" applyBorder="1" applyAlignment="1">
      <alignment horizontal="center" vertical="center" wrapText="1"/>
    </xf>
    <xf numFmtId="169" fontId="9" fillId="2" borderId="18" xfId="0" applyNumberFormat="1" applyFont="1" applyFill="1" applyBorder="1" applyAlignment="1">
      <alignment horizontal="center" vertical="center" wrapText="1"/>
    </xf>
    <xf numFmtId="0" fontId="30" fillId="2" borderId="1" xfId="0" applyFont="1" applyFill="1" applyBorder="1" applyAlignment="1">
      <alignment horizontal="center" vertical="center" wrapText="1"/>
    </xf>
    <xf numFmtId="0" fontId="9" fillId="2" borderId="1" xfId="36" applyFont="1" applyFill="1" applyBorder="1" applyAlignment="1">
      <alignment horizontal="center" vertical="center" wrapText="1"/>
    </xf>
  </cellXfs>
  <cellStyles count="125">
    <cellStyle name="Excel Built-in Normal" xfId="1"/>
    <cellStyle name="Гиперссылка" xfId="2" builtinId="8"/>
    <cellStyle name="Денежный 2" xfId="3"/>
    <cellStyle name="Денежный 3" xfId="4"/>
    <cellStyle name="Денежный 3 2" xfId="5"/>
    <cellStyle name="Обычный" xfId="0" builtinId="0"/>
    <cellStyle name="Обычный 10" xfId="6"/>
    <cellStyle name="Обычный 10 2" xfId="7"/>
    <cellStyle name="Обычный 10 3" xfId="8"/>
    <cellStyle name="Обычный 10 4" xfId="9"/>
    <cellStyle name="Обычный 10 5" xfId="10"/>
    <cellStyle name="Обычный 11" xfId="11"/>
    <cellStyle name="Обычный 11 2" xfId="12"/>
    <cellStyle name="Обычный 12" xfId="13"/>
    <cellStyle name="Обычный 12 2" xfId="116"/>
    <cellStyle name="Обычный 13" xfId="14"/>
    <cellStyle name="Обычный 14" xfId="15"/>
    <cellStyle name="Обычный 15" xfId="16"/>
    <cellStyle name="Обычный 15 2" xfId="110"/>
    <cellStyle name="Обычный 15 2 2" xfId="113"/>
    <cellStyle name="Обычный 15 3" xfId="115"/>
    <cellStyle name="Обычный 16" xfId="17"/>
    <cellStyle name="Обычный 16 2" xfId="111"/>
    <cellStyle name="Обычный 17" xfId="18"/>
    <cellStyle name="Обычный 18" xfId="19"/>
    <cellStyle name="Обычный 19" xfId="20"/>
    <cellStyle name="Обычный 2" xfId="21"/>
    <cellStyle name="Обычный 2 2" xfId="22"/>
    <cellStyle name="Обычный 2 2 2" xfId="23"/>
    <cellStyle name="Обычный 2 2 3" xfId="24"/>
    <cellStyle name="Обычный 2 3" xfId="25"/>
    <cellStyle name="Обычный 2 3 2" xfId="26"/>
    <cellStyle name="Обычный 2 4" xfId="27"/>
    <cellStyle name="Обычный 2 5" xfId="28"/>
    <cellStyle name="Обычный 2 5 2" xfId="29"/>
    <cellStyle name="Обычный 2 6" xfId="30"/>
    <cellStyle name="Обычный 2 7" xfId="31"/>
    <cellStyle name="Обычный 2 8" xfId="32"/>
    <cellStyle name="Обычный 20" xfId="33"/>
    <cellStyle name="Обычный 21" xfId="96"/>
    <cellStyle name="Обычный 22" xfId="112"/>
    <cellStyle name="Обычный 3" xfId="34"/>
    <cellStyle name="Обычный 3 2" xfId="35"/>
    <cellStyle name="Обычный 3 2 2 2" xfId="100"/>
    <cellStyle name="Обычный 3_СВОД по мероприятиям ДМЦП на 2016-2018" xfId="101"/>
    <cellStyle name="Обычный 4" xfId="36"/>
    <cellStyle name="Обычный 4 2" xfId="37"/>
    <cellStyle name="Обычный 4 3" xfId="38"/>
    <cellStyle name="Обычный 4_Норильск" xfId="39"/>
    <cellStyle name="Обычный 5" xfId="40"/>
    <cellStyle name="Обычный 5 2" xfId="41"/>
    <cellStyle name="Обычный 5 3" xfId="42"/>
    <cellStyle name="Обычный 5 3 2" xfId="102"/>
    <cellStyle name="Обычный 5 3 2 2" xfId="103"/>
    <cellStyle name="Обычный 5 3 2 2 3" xfId="121"/>
    <cellStyle name="Обычный 5 3 2 4" xfId="120"/>
    <cellStyle name="Обычный 5 3 3" xfId="98"/>
    <cellStyle name="Обычный 5 3 3 2" xfId="43"/>
    <cellStyle name="Обычный 5 3 3 3" xfId="118"/>
    <cellStyle name="Обычный 5 4" xfId="44"/>
    <cellStyle name="Обычный 6" xfId="45"/>
    <cellStyle name="Обычный 6 2" xfId="46"/>
    <cellStyle name="Обычный 6 2 2" xfId="47"/>
    <cellStyle name="Обычный 6 2 3" xfId="106"/>
    <cellStyle name="Обычный 6 3" xfId="48"/>
    <cellStyle name="Обычный 7" xfId="49"/>
    <cellStyle name="Обычный 7 2" xfId="50"/>
    <cellStyle name="Обычный 7 2 2" xfId="51"/>
    <cellStyle name="Обычный 8" xfId="52"/>
    <cellStyle name="Обычный 8 2" xfId="53"/>
    <cellStyle name="Обычный 8 2 2" xfId="54"/>
    <cellStyle name="Обычный 8 2 2 2" xfId="55"/>
    <cellStyle name="Обычный 8 2 2 2 2" xfId="56"/>
    <cellStyle name="Обычный 8 2 2 2 3" xfId="57"/>
    <cellStyle name="Обычный 8 2 2 2 4" xfId="58"/>
    <cellStyle name="Обычный 8 2 2 2 4 2" xfId="124"/>
    <cellStyle name="Обычный 8 2 2 2 5" xfId="59"/>
    <cellStyle name="Обычный 8 2 2 2 6" xfId="60"/>
    <cellStyle name="Обычный 8 2 2 2 7" xfId="61"/>
    <cellStyle name="Обычный 8 2 2 2 8" xfId="108"/>
    <cellStyle name="Обычный 8 2 2 3" xfId="104"/>
    <cellStyle name="Обычный 8 2 2 3 2" xfId="114"/>
    <cellStyle name="Обычный 8 2 2 5" xfId="122"/>
    <cellStyle name="Обычный 8 2 3" xfId="62"/>
    <cellStyle name="Обычный 8 2 3 2" xfId="63"/>
    <cellStyle name="Обычный 8 2 3 3" xfId="64"/>
    <cellStyle name="Обычный 8 2 3 4" xfId="65"/>
    <cellStyle name="Обычный 8 2 3 4 2" xfId="119"/>
    <cellStyle name="Обычный 8 2 3 5" xfId="66"/>
    <cellStyle name="Обычный 8 2 3 5 2" xfId="109"/>
    <cellStyle name="Обычный 8 2 3 6" xfId="99"/>
    <cellStyle name="Обычный 8 2 4" xfId="67"/>
    <cellStyle name="Обычный 8 2 5" xfId="68"/>
    <cellStyle name="Обычный 8 2 6" xfId="69"/>
    <cellStyle name="Обычный 8 2 6 2" xfId="117"/>
    <cellStyle name="Обычный 8 2 7" xfId="97"/>
    <cellStyle name="Обычный 9" xfId="70"/>
    <cellStyle name="Обычный 9 2" xfId="71"/>
    <cellStyle name="Обычный_План ФХД на 15.12.2011 г." xfId="72"/>
    <cellStyle name="Обычный_ШР рязр. культ." xfId="73"/>
    <cellStyle name="Пояснение 2" xfId="105"/>
    <cellStyle name="Процентный 2" xfId="74"/>
    <cellStyle name="Процентный 3" xfId="75"/>
    <cellStyle name="Финансовый 10" xfId="76"/>
    <cellStyle name="Финансовый 11" xfId="77"/>
    <cellStyle name="Финансовый 12" xfId="78"/>
    <cellStyle name="Финансовый 13" xfId="79"/>
    <cellStyle name="Финансовый 2" xfId="80"/>
    <cellStyle name="Финансовый 2 2" xfId="81"/>
    <cellStyle name="Финансовый 2 2 2" xfId="82"/>
    <cellStyle name="Финансовый 2 3" xfId="83"/>
    <cellStyle name="Финансовый 2 3 2" xfId="123"/>
    <cellStyle name="Финансовый 2 4" xfId="84"/>
    <cellStyle name="Финансовый 2 5" xfId="107"/>
    <cellStyle name="Финансовый 3" xfId="85"/>
    <cellStyle name="Финансовый 3 2" xfId="86"/>
    <cellStyle name="Финансовый 3 3" xfId="87"/>
    <cellStyle name="Финансовый 3 4" xfId="88"/>
    <cellStyle name="Финансовый 4" xfId="89"/>
    <cellStyle name="Финансовый 4 2" xfId="90"/>
    <cellStyle name="Финансовый 5" xfId="91"/>
    <cellStyle name="Финансовый 6" xfId="92"/>
    <cellStyle name="Финансовый 7" xfId="93"/>
    <cellStyle name="Финансовый 8" xfId="94"/>
    <cellStyle name="Финансовый 9" xfId="95"/>
  </cellStyles>
  <dxfs count="0"/>
  <tableStyles count="0" defaultTableStyle="TableStyleMedium9" defaultPivotStyle="PivotStyleLight16"/>
  <colors>
    <mruColors>
      <color rgb="FFCCFFCC"/>
      <color rgb="FF66FF99"/>
      <color rgb="FF99FF99"/>
      <color rgb="FF66FFCC"/>
      <color rgb="FF00FFFF"/>
      <color rgb="FFFFCC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nts4\userland\&#1041;&#1072;&#1083;&#1072;&#1085;&#1089;\An(EsMon)\SC_W\&#1055;&#1088;&#1086;&#1075;&#1085;&#1086;&#1079;\&#1055;&#1088;&#1086;&#1075;05_00(27.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cnts4\userland\&#1041;&#1072;&#1083;&#1072;&#1085;&#1089;\An(EsMon)\7.02.01\V&#1045;&#1052;_2001.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cnts4\userland\SC_W\&#1055;&#1088;&#1086;&#1075;&#1085;&#1086;&#1079;\&#1055;&#1088;&#1086;&#1075;05_00(27.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1061;&#1072;&#1085;&#1086;&#1074;&#1072;\&#1043;&#1088;(27.07.00)5&#106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Kult11\plan\&#1050;&#1091;&#1088;&#1072;&#1085;&#1086;&#1074;\Pr(2000)Tabl\9&#1072;&#1087;&#1088;2003\V&#1094;&#1077;&#1083;2.1_2002.1.04.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cnts4\userland\&#1041;&#1072;&#1083;&#1072;&#1085;&#1089;\An(EsMon)\7.02.01\SC_W\&#1055;&#1088;&#1086;&#1075;&#1085;&#1086;&#1079;\&#1055;&#1088;&#1086;&#1075;05_00(27.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cnts4\userland\&#1041;&#1072;&#1083;&#1072;&#1085;&#1089;\An(EsMon)\7.02.01\&#1061;&#1072;&#1085;&#1086;&#1074;&#1072;\&#1043;&#1088;(27.07.00)5&#106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nts4\userland\&#1041;&#1072;&#1083;&#1072;&#1085;&#1089;\An(EsMon)\&#1061;&#1072;&#1085;&#1086;&#1074;&#1072;\&#1043;&#1088;(27.07.00)5&#106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1061;&#1072;&#1085;&#1086;&#1074;&#1072;\&#1043;&#1088;(27.07.00)5&#106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7.02.01\SC_W\&#1055;&#1088;&#1086;&#1075;&#1085;&#1086;&#1079;\&#1055;&#1088;&#1086;&#1075;05_00(27.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anova\ira_send\&#1045;&#1057;&#1052;&#1054;&#1053;2002\&#1052;&#1072;&#1090;&#1077;&#1088;&#1086;&#1074;-03.01.02\&#1041;&#1072;&#1083;&#1072;&#1085;&#1089;\An(EsMon)\SC_W\&#1055;&#1088;&#1086;&#1075;&#1085;&#1086;&#1079;\&#1055;&#1088;&#1086;&#1075;05_00(27.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cnts4\userland\&#1061;&#1072;&#1085;&#1086;&#1074;&#1072;\&#1043;&#1088;(27.07.00)5&#106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72.23.21.7\&#1087;&#1088;&#1080;&#1077;&#1084;&#1085;&#1072;&#1103;\&#1050;&#1091;&#1088;&#1072;&#1085;&#1086;&#1074;\Pr(2000)Tabl\9&#1072;&#1087;&#1088;2003\V&#1094;&#1077;&#1083;2.1_2002.1.04.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1)"/>
      <sheetName val="2002(v2)"/>
      <sheetName val="I"/>
      <sheetName val="Печv1"/>
      <sheetName val="Печv2 "/>
      <sheetName val="ПечМОНv1"/>
      <sheetName val="2002_v1_"/>
    </sheetNames>
    <sheetDataSet>
      <sheetData sheetId="0"/>
      <sheetData sheetId="1"/>
      <sheetData sheetId="2" refreshError="1"/>
      <sheetData sheetId="3" refreshError="1"/>
      <sheetData sheetId="4" refreshError="1"/>
      <sheetData sheetId="5" refreshError="1"/>
      <sheetData sheetId="6" refreshError="1"/>
      <sheetData sheetId="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 val="ПРОГНОЗ_1"/>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динамика цвет мет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 val="Гр5(о)"/>
    </sheetNames>
    <sheetDataSet>
      <sheetData sheetId="0"/>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ОГНОЗ_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1(98_00)"/>
      <sheetName val="Гр1(99_00)"/>
      <sheetName val="Гр2"/>
      <sheetName val="Гр2(06)"/>
      <sheetName val="Гр3"/>
      <sheetName val="Прод(Непр)"/>
      <sheetName val="Гр4"/>
      <sheetName val="Гр4(06)"/>
      <sheetName val="Гр5(о)"/>
      <sheetName val="Гр6"/>
      <sheetName val="Гр5_о_"/>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ф99"/>
      <sheetName val="2002(v2)"/>
      <sheetName val="2004(v2) "/>
      <sheetName val="Печ"/>
      <sheetName val="2002(v1) "/>
      <sheetName val="2004(v1)  "/>
      <sheetName val="2002-03(v2) "/>
      <sheetName val="2002-03(v1)  "/>
      <sheetName val="I"/>
      <sheetName val="динамика цвет мет "/>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W46"/>
  <sheetViews>
    <sheetView view="pageBreakPreview" zoomScale="80" zoomScaleSheetLayoutView="80" workbookViewId="0">
      <pane xSplit="1" ySplit="9" topLeftCell="B10"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59.6640625" style="7" customWidth="1"/>
    <col min="2" max="2" width="11.6640625" style="7" customWidth="1"/>
    <col min="3" max="3" width="14.6640625" style="7" customWidth="1"/>
    <col min="4" max="4" width="14" style="7" customWidth="1"/>
    <col min="5" max="20" width="14.77734375" style="13" customWidth="1"/>
    <col min="21" max="21" width="12.44140625" style="7" customWidth="1"/>
    <col min="22" max="22" width="15.44140625" style="7" bestFit="1" customWidth="1"/>
    <col min="23" max="23" width="14.33203125" style="7" customWidth="1"/>
    <col min="24" max="24" width="11.44140625" style="7" bestFit="1" customWidth="1"/>
    <col min="25" max="16384" width="9.33203125" style="7"/>
  </cols>
  <sheetData>
    <row r="2" spans="1:23" x14ac:dyDescent="0.25">
      <c r="A2" s="459" t="s">
        <v>168</v>
      </c>
      <c r="B2" s="459"/>
      <c r="C2" s="459"/>
      <c r="D2" s="459"/>
      <c r="E2" s="459"/>
      <c r="F2" s="459"/>
      <c r="G2" s="459"/>
      <c r="H2" s="459"/>
      <c r="I2" s="459"/>
      <c r="J2" s="459"/>
      <c r="K2" s="459"/>
      <c r="L2" s="459"/>
      <c r="M2" s="459"/>
      <c r="N2" s="459"/>
      <c r="O2" s="459"/>
      <c r="P2" s="459"/>
      <c r="Q2" s="459"/>
      <c r="R2" s="459"/>
      <c r="S2" s="459"/>
      <c r="T2" s="459"/>
      <c r="U2" s="459"/>
      <c r="V2" s="459"/>
      <c r="W2" s="459"/>
    </row>
    <row r="4" spans="1:23" x14ac:dyDescent="0.25">
      <c r="A4" s="459" t="s">
        <v>169</v>
      </c>
      <c r="B4" s="459"/>
      <c r="C4" s="459"/>
      <c r="D4" s="459"/>
      <c r="E4" s="459"/>
      <c r="F4" s="459"/>
      <c r="G4" s="459"/>
      <c r="H4" s="459"/>
      <c r="I4" s="459"/>
      <c r="J4" s="459"/>
      <c r="K4" s="459"/>
      <c r="L4" s="459"/>
      <c r="M4" s="459"/>
      <c r="N4" s="459"/>
      <c r="O4" s="459"/>
      <c r="P4" s="459"/>
      <c r="Q4" s="459"/>
      <c r="R4" s="459"/>
      <c r="S4" s="459"/>
      <c r="T4" s="459"/>
      <c r="U4" s="459"/>
      <c r="V4" s="459"/>
      <c r="W4" s="459"/>
    </row>
    <row r="5" spans="1:23" x14ac:dyDescent="0.25">
      <c r="A5" s="291"/>
      <c r="B5" s="291"/>
      <c r="C5" s="291"/>
      <c r="D5" s="291"/>
      <c r="E5" s="291"/>
      <c r="F5" s="291"/>
      <c r="G5" s="291"/>
      <c r="H5" s="291"/>
      <c r="I5" s="291"/>
      <c r="J5" s="291"/>
      <c r="K5" s="291"/>
      <c r="L5" s="291"/>
      <c r="M5" s="291"/>
      <c r="N5" s="291"/>
      <c r="O5" s="291"/>
      <c r="P5" s="291"/>
      <c r="Q5" s="291"/>
      <c r="R5" s="291"/>
      <c r="S5" s="291"/>
      <c r="T5" s="291"/>
      <c r="U5" s="291"/>
      <c r="V5" s="291"/>
      <c r="W5" s="291"/>
    </row>
    <row r="6" spans="1:23" x14ac:dyDescent="0.25">
      <c r="A6" s="291"/>
      <c r="B6" s="291"/>
      <c r="C6" s="291"/>
      <c r="D6" s="291"/>
      <c r="E6" s="291"/>
      <c r="F6" s="291"/>
      <c r="G6" s="291"/>
      <c r="H6" s="291"/>
      <c r="I6" s="291"/>
      <c r="J6" s="291"/>
      <c r="K6" s="291"/>
      <c r="L6" s="291"/>
      <c r="M6" s="291"/>
      <c r="N6" s="291"/>
      <c r="O6" s="291"/>
      <c r="P6" s="291"/>
      <c r="Q6" s="291"/>
      <c r="R6" s="291"/>
      <c r="S6" s="291"/>
      <c r="T6" s="291"/>
      <c r="U6" s="291"/>
      <c r="V6" s="291"/>
      <c r="W6" s="291"/>
    </row>
    <row r="7" spans="1:23" x14ac:dyDescent="0.25">
      <c r="A7" s="7" t="s">
        <v>170</v>
      </c>
    </row>
    <row r="8" spans="1:23" ht="42.75" customHeight="1" x14ac:dyDescent="0.25">
      <c r="A8" s="469" t="s">
        <v>95</v>
      </c>
      <c r="B8" s="470" t="s">
        <v>98</v>
      </c>
      <c r="C8" s="472" t="s">
        <v>140</v>
      </c>
      <c r="D8" s="473"/>
      <c r="E8" s="474"/>
      <c r="F8" s="472" t="s">
        <v>152</v>
      </c>
      <c r="G8" s="473"/>
      <c r="H8" s="474"/>
      <c r="I8" s="460" t="s">
        <v>165</v>
      </c>
      <c r="J8" s="461"/>
      <c r="K8" s="462"/>
      <c r="L8" s="460" t="s">
        <v>172</v>
      </c>
      <c r="M8" s="461"/>
      <c r="N8" s="462"/>
      <c r="O8" s="460" t="s">
        <v>8</v>
      </c>
      <c r="P8" s="461"/>
      <c r="Q8" s="462"/>
      <c r="R8" s="460" t="s">
        <v>173</v>
      </c>
      <c r="S8" s="461"/>
      <c r="T8" s="462"/>
      <c r="U8" s="475" t="s">
        <v>174</v>
      </c>
      <c r="V8" s="475"/>
      <c r="W8" s="475"/>
    </row>
    <row r="9" spans="1:23" ht="27.75" customHeight="1" x14ac:dyDescent="0.25">
      <c r="A9" s="469"/>
      <c r="B9" s="471"/>
      <c r="C9" s="292">
        <v>991</v>
      </c>
      <c r="D9" s="292">
        <v>992</v>
      </c>
      <c r="E9" s="15">
        <v>911</v>
      </c>
      <c r="F9" s="292">
        <v>991</v>
      </c>
      <c r="G9" s="292">
        <v>992</v>
      </c>
      <c r="H9" s="15">
        <v>911</v>
      </c>
      <c r="I9" s="294">
        <v>991</v>
      </c>
      <c r="J9" s="294">
        <v>992</v>
      </c>
      <c r="K9" s="294">
        <v>911</v>
      </c>
      <c r="L9" s="294">
        <v>991</v>
      </c>
      <c r="M9" s="294">
        <v>992</v>
      </c>
      <c r="N9" s="294"/>
      <c r="O9" s="294">
        <v>991</v>
      </c>
      <c r="P9" s="294">
        <v>992</v>
      </c>
      <c r="Q9" s="294">
        <v>911</v>
      </c>
      <c r="R9" s="294">
        <v>991</v>
      </c>
      <c r="S9" s="294">
        <v>992</v>
      </c>
      <c r="T9" s="294">
        <v>911</v>
      </c>
      <c r="U9" s="292">
        <v>991</v>
      </c>
      <c r="V9" s="293">
        <v>992</v>
      </c>
      <c r="W9" s="292">
        <v>911</v>
      </c>
    </row>
    <row r="10" spans="1:23" s="13" customFormat="1" ht="38.25" customHeight="1" x14ac:dyDescent="0.25">
      <c r="A10" s="273" t="s">
        <v>111</v>
      </c>
      <c r="B10" s="8">
        <f>'музей 2020'!C28</f>
        <v>64.5</v>
      </c>
      <c r="C10" s="10">
        <f>'музей 2020'!G34</f>
        <v>39360.400000000001</v>
      </c>
      <c r="D10" s="10">
        <f>'музей 2020'!H34</f>
        <v>11661.7</v>
      </c>
      <c r="E10" s="10">
        <v>897</v>
      </c>
      <c r="F10" s="10"/>
      <c r="G10" s="10"/>
      <c r="H10" s="10"/>
      <c r="I10" s="295">
        <f>'музей 2020'!V28</f>
        <v>39360.400000000001</v>
      </c>
      <c r="J10" s="295">
        <f>'музей 2020'!W28</f>
        <v>11654.6</v>
      </c>
      <c r="K10" s="295">
        <f>'музей 2020'!AH28</f>
        <v>1677</v>
      </c>
      <c r="L10" s="295">
        <v>12072.6</v>
      </c>
      <c r="M10" s="295">
        <v>3617.2</v>
      </c>
      <c r="N10" s="295"/>
      <c r="O10" s="295">
        <f t="shared" ref="O10:Q15" si="0">I10+L10</f>
        <v>51433</v>
      </c>
      <c r="P10" s="295">
        <f t="shared" si="0"/>
        <v>15271.8</v>
      </c>
      <c r="Q10" s="295">
        <f t="shared" si="0"/>
        <v>1677</v>
      </c>
      <c r="R10" s="295">
        <v>51466.7</v>
      </c>
      <c r="S10" s="295">
        <v>15317.8</v>
      </c>
      <c r="T10" s="295">
        <v>1677</v>
      </c>
      <c r="U10" s="10">
        <f t="shared" ref="U10:W11" si="1">R10-O10</f>
        <v>33.700000000000003</v>
      </c>
      <c r="V10" s="10">
        <f t="shared" si="1"/>
        <v>46</v>
      </c>
      <c r="W10" s="10">
        <f t="shared" si="1"/>
        <v>0</v>
      </c>
    </row>
    <row r="11" spans="1:23" s="13" customFormat="1" x14ac:dyDescent="0.25">
      <c r="A11" s="273" t="s">
        <v>133</v>
      </c>
      <c r="B11" s="9" t="e">
        <f>#REF!</f>
        <v>#REF!</v>
      </c>
      <c r="C11" s="10" t="e">
        <f>#REF!</f>
        <v>#REF!</v>
      </c>
      <c r="D11" s="10" t="e">
        <f>#REF!</f>
        <v>#REF!</v>
      </c>
      <c r="E11" s="10">
        <v>3224</v>
      </c>
      <c r="F11" s="10" t="e">
        <f>#REF!</f>
        <v>#REF!</v>
      </c>
      <c r="G11" s="10" t="e">
        <f>#REF!</f>
        <v>#REF!</v>
      </c>
      <c r="H11" s="10"/>
      <c r="I11" s="295" t="e">
        <f>#REF!</f>
        <v>#REF!</v>
      </c>
      <c r="J11" s="295" t="e">
        <f>#REF!</f>
        <v>#REF!</v>
      </c>
      <c r="K11" s="295" t="e">
        <f>#REF!</f>
        <v>#REF!</v>
      </c>
      <c r="L11" s="295">
        <v>24676.400000000001</v>
      </c>
      <c r="M11" s="295">
        <v>7431.5</v>
      </c>
      <c r="N11" s="295"/>
      <c r="O11" s="295" t="e">
        <f t="shared" si="0"/>
        <v>#REF!</v>
      </c>
      <c r="P11" s="295" t="e">
        <f t="shared" si="0"/>
        <v>#REF!</v>
      </c>
      <c r="Q11" s="295" t="e">
        <f t="shared" si="0"/>
        <v>#REF!</v>
      </c>
      <c r="R11" s="295">
        <v>104789.4</v>
      </c>
      <c r="S11" s="295">
        <v>31487.5</v>
      </c>
      <c r="T11" s="295">
        <v>4140.5</v>
      </c>
      <c r="U11" s="10" t="e">
        <f t="shared" si="1"/>
        <v>#REF!</v>
      </c>
      <c r="V11" s="10" t="e">
        <f t="shared" si="1"/>
        <v>#REF!</v>
      </c>
      <c r="W11" s="10" t="e">
        <f t="shared" si="1"/>
        <v>#REF!</v>
      </c>
    </row>
    <row r="12" spans="1:23" s="13" customFormat="1" x14ac:dyDescent="0.25">
      <c r="A12" s="273" t="s">
        <v>112</v>
      </c>
      <c r="B12" s="8">
        <f>'Родина 2020'!C21</f>
        <v>15.5</v>
      </c>
      <c r="C12" s="10">
        <f>'Родина 2020'!G28</f>
        <v>8874.7000000000007</v>
      </c>
      <c r="D12" s="10">
        <f>'Родина 2020'!H28</f>
        <v>2640.7</v>
      </c>
      <c r="E12" s="10">
        <v>546</v>
      </c>
      <c r="F12" s="10"/>
      <c r="G12" s="10"/>
      <c r="H12" s="10"/>
      <c r="I12" s="295">
        <f>'Родина 2020'!V21</f>
        <v>8874.7000000000007</v>
      </c>
      <c r="J12" s="295">
        <f>'Родина 2020'!W21</f>
        <v>2635.8</v>
      </c>
      <c r="K12" s="295">
        <f>'Родина 2020'!AH21</f>
        <v>253.5</v>
      </c>
      <c r="L12" s="295">
        <v>2722.1</v>
      </c>
      <c r="M12" s="295">
        <v>816</v>
      </c>
      <c r="N12" s="295"/>
      <c r="O12" s="295">
        <f t="shared" si="0"/>
        <v>11596.8</v>
      </c>
      <c r="P12" s="295">
        <f t="shared" si="0"/>
        <v>3451.8</v>
      </c>
      <c r="Q12" s="295">
        <f t="shared" si="0"/>
        <v>253.5</v>
      </c>
      <c r="R12" s="463">
        <v>114402.6</v>
      </c>
      <c r="S12" s="463">
        <v>33648.800000000003</v>
      </c>
      <c r="T12" s="463">
        <v>2996.5</v>
      </c>
      <c r="U12" s="466">
        <f>R12-O12-O13-O14-O15</f>
        <v>-133</v>
      </c>
      <c r="V12" s="466">
        <f>S12-P12-P13-P14-P15</f>
        <v>-94.1</v>
      </c>
      <c r="W12" s="466">
        <f>T12-Q12-Q13-Q14-Q15</f>
        <v>0</v>
      </c>
    </row>
    <row r="13" spans="1:23" s="13" customFormat="1" x14ac:dyDescent="0.25">
      <c r="A13" s="273" t="s">
        <v>113</v>
      </c>
      <c r="B13" s="9">
        <f>'ГЦК+Энергия 2020'!C52</f>
        <v>59.75</v>
      </c>
      <c r="C13" s="10">
        <f>'ГЦК+Энергия 2020'!G57</f>
        <v>46179.199999999997</v>
      </c>
      <c r="D13" s="10">
        <f>'ГЦК+Энергия 2020'!H57</f>
        <v>13446.9</v>
      </c>
      <c r="E13" s="10">
        <v>1351.3</v>
      </c>
      <c r="F13" s="10">
        <f>'ГЦК+Энергия 2020'!I57</f>
        <v>678.3</v>
      </c>
      <c r="G13" s="10">
        <f>'ГЦК+Энергия 2020'!J57</f>
        <v>204.8</v>
      </c>
      <c r="H13" s="10"/>
      <c r="I13" s="295">
        <f>'ГЦК+Энергия 2020'!V52</f>
        <v>45500.9</v>
      </c>
      <c r="J13" s="295">
        <f>'ГЦК+Энергия 2020'!W52</f>
        <v>13348.7</v>
      </c>
      <c r="K13" s="295">
        <f>'ГЦК+Энергия 2020'!AH52</f>
        <v>1924</v>
      </c>
      <c r="L13" s="295">
        <v>14164.1</v>
      </c>
      <c r="M13" s="295">
        <v>4215.2</v>
      </c>
      <c r="N13" s="295"/>
      <c r="O13" s="295">
        <f t="shared" si="0"/>
        <v>59665</v>
      </c>
      <c r="P13" s="295">
        <f t="shared" si="0"/>
        <v>17563.900000000001</v>
      </c>
      <c r="Q13" s="295">
        <f t="shared" si="0"/>
        <v>1924</v>
      </c>
      <c r="R13" s="464"/>
      <c r="S13" s="464"/>
      <c r="T13" s="464"/>
      <c r="U13" s="467"/>
      <c r="V13" s="467"/>
      <c r="W13" s="467"/>
    </row>
    <row r="14" spans="1:23" s="13" customFormat="1" ht="19.5" customHeight="1" x14ac:dyDescent="0.25">
      <c r="A14" s="273" t="s">
        <v>114</v>
      </c>
      <c r="B14" s="9">
        <f>'Юбилейный 2020'!C25</f>
        <v>19</v>
      </c>
      <c r="C14" s="10">
        <f>'Юбилейный 2020'!G31</f>
        <v>14722.5</v>
      </c>
      <c r="D14" s="10">
        <f>'Юбилейный 2020'!H31</f>
        <v>4245.1000000000004</v>
      </c>
      <c r="E14" s="10">
        <v>429</v>
      </c>
      <c r="F14" s="10"/>
      <c r="G14" s="10"/>
      <c r="H14" s="10"/>
      <c r="I14" s="295">
        <f>'Юбилейный 2020'!V25</f>
        <v>14722.5</v>
      </c>
      <c r="J14" s="295">
        <f>'Юбилейный 2020'!W25</f>
        <v>4305.6000000000004</v>
      </c>
      <c r="K14" s="295">
        <f>'Юбилейный 2020'!AH25</f>
        <v>370.5</v>
      </c>
      <c r="L14" s="295">
        <v>4515.6000000000004</v>
      </c>
      <c r="M14" s="295">
        <v>1337.9</v>
      </c>
      <c r="N14" s="295"/>
      <c r="O14" s="295">
        <f t="shared" si="0"/>
        <v>19238.099999999999</v>
      </c>
      <c r="P14" s="295">
        <f t="shared" si="0"/>
        <v>5643.5</v>
      </c>
      <c r="Q14" s="295">
        <f t="shared" si="0"/>
        <v>370.5</v>
      </c>
      <c r="R14" s="464"/>
      <c r="S14" s="464"/>
      <c r="T14" s="464"/>
      <c r="U14" s="467"/>
      <c r="V14" s="467"/>
      <c r="W14" s="467"/>
    </row>
    <row r="15" spans="1:23" s="13" customFormat="1" ht="32.25" customHeight="1" x14ac:dyDescent="0.25">
      <c r="A15" s="273" t="s">
        <v>115</v>
      </c>
      <c r="B15" s="9">
        <f>'Высоцкий 2020'!C28</f>
        <v>25</v>
      </c>
      <c r="C15" s="10">
        <f>'Высоцкий 2020'!G33</f>
        <v>18394</v>
      </c>
      <c r="D15" s="10">
        <f>'Высоцкий 2020'!H33</f>
        <v>5393.9</v>
      </c>
      <c r="E15" s="10">
        <v>799.5</v>
      </c>
      <c r="F15" s="10"/>
      <c r="G15" s="10"/>
      <c r="H15" s="10"/>
      <c r="I15" s="295">
        <f>'Высоцкий 2020'!V28</f>
        <v>18394</v>
      </c>
      <c r="J15" s="295">
        <f>'Высоцкий 2020'!W28</f>
        <v>5400.8</v>
      </c>
      <c r="K15" s="295">
        <f>'Высоцкий 2020'!AH28</f>
        <v>448.5</v>
      </c>
      <c r="L15" s="295">
        <v>5641.7</v>
      </c>
      <c r="M15" s="295">
        <v>1682.9</v>
      </c>
      <c r="N15" s="295"/>
      <c r="O15" s="295">
        <f t="shared" si="0"/>
        <v>24035.7</v>
      </c>
      <c r="P15" s="295">
        <f t="shared" si="0"/>
        <v>7083.7</v>
      </c>
      <c r="Q15" s="295">
        <f t="shared" si="0"/>
        <v>448.5</v>
      </c>
      <c r="R15" s="465"/>
      <c r="S15" s="465"/>
      <c r="T15" s="465"/>
      <c r="U15" s="468"/>
      <c r="V15" s="468"/>
      <c r="W15" s="468"/>
    </row>
    <row r="16" spans="1:23" x14ac:dyDescent="0.25">
      <c r="A16" s="16" t="s">
        <v>99</v>
      </c>
      <c r="B16" s="17" t="e">
        <f t="shared" ref="B16:W16" si="2">SUM(B10:B15)</f>
        <v>#REF!</v>
      </c>
      <c r="C16" s="18" t="e">
        <f t="shared" si="2"/>
        <v>#REF!</v>
      </c>
      <c r="D16" s="18" t="e">
        <f t="shared" si="2"/>
        <v>#REF!</v>
      </c>
      <c r="E16" s="18">
        <f t="shared" si="2"/>
        <v>7246.8</v>
      </c>
      <c r="F16" s="18" t="e">
        <f t="shared" si="2"/>
        <v>#REF!</v>
      </c>
      <c r="G16" s="18" t="e">
        <f t="shared" si="2"/>
        <v>#REF!</v>
      </c>
      <c r="H16" s="18">
        <f t="shared" si="2"/>
        <v>0</v>
      </c>
      <c r="I16" s="18" t="e">
        <f t="shared" si="2"/>
        <v>#REF!</v>
      </c>
      <c r="J16" s="18" t="e">
        <f t="shared" si="2"/>
        <v>#REF!</v>
      </c>
      <c r="K16" s="18" t="e">
        <f t="shared" si="2"/>
        <v>#REF!</v>
      </c>
      <c r="L16" s="18">
        <f t="shared" si="2"/>
        <v>63792.5</v>
      </c>
      <c r="M16" s="18">
        <f t="shared" si="2"/>
        <v>19100.7</v>
      </c>
      <c r="N16" s="18">
        <f t="shared" si="2"/>
        <v>0</v>
      </c>
      <c r="O16" s="18" t="e">
        <f t="shared" si="2"/>
        <v>#REF!</v>
      </c>
      <c r="P16" s="18" t="e">
        <f t="shared" si="2"/>
        <v>#REF!</v>
      </c>
      <c r="Q16" s="18" t="e">
        <f t="shared" si="2"/>
        <v>#REF!</v>
      </c>
      <c r="R16" s="18">
        <f t="shared" si="2"/>
        <v>270658.7</v>
      </c>
      <c r="S16" s="18">
        <f t="shared" si="2"/>
        <v>80454.100000000006</v>
      </c>
      <c r="T16" s="18">
        <f t="shared" si="2"/>
        <v>8814</v>
      </c>
      <c r="U16" s="18" t="e">
        <f t="shared" si="2"/>
        <v>#REF!</v>
      </c>
      <c r="V16" s="18" t="e">
        <f t="shared" si="2"/>
        <v>#REF!</v>
      </c>
      <c r="W16" s="18" t="e">
        <f t="shared" si="2"/>
        <v>#REF!</v>
      </c>
    </row>
    <row r="17" spans="1:23" x14ac:dyDescent="0.25">
      <c r="C17" s="11"/>
      <c r="D17" s="11"/>
      <c r="E17" s="12"/>
      <c r="F17" s="12"/>
      <c r="G17" s="12"/>
      <c r="H17" s="12"/>
      <c r="I17" s="12"/>
      <c r="J17" s="12"/>
      <c r="K17" s="12"/>
      <c r="L17" s="12"/>
      <c r="M17" s="12"/>
      <c r="N17" s="12"/>
      <c r="O17" s="12"/>
      <c r="P17" s="12"/>
      <c r="Q17" s="12"/>
      <c r="R17" s="12"/>
      <c r="S17" s="12"/>
      <c r="T17" s="12"/>
    </row>
    <row r="18" spans="1:23" x14ac:dyDescent="0.25">
      <c r="U18" s="459" t="s">
        <v>171</v>
      </c>
      <c r="V18" s="459"/>
      <c r="W18" s="459"/>
    </row>
    <row r="19" spans="1:23" s="20" customFormat="1" ht="21" x14ac:dyDescent="0.4">
      <c r="A19" s="1" t="s">
        <v>138</v>
      </c>
      <c r="C19" s="2"/>
      <c r="D19" s="6" t="s">
        <v>166</v>
      </c>
      <c r="E19" s="3"/>
      <c r="F19" s="4"/>
      <c r="G19" s="4"/>
      <c r="H19" s="5"/>
      <c r="I19" s="5"/>
      <c r="J19" s="4"/>
    </row>
    <row r="21" spans="1:23" x14ac:dyDescent="0.25">
      <c r="A21" s="7" t="s">
        <v>151</v>
      </c>
    </row>
    <row r="22" spans="1:23" s="11" customFormat="1" x14ac:dyDescent="0.25">
      <c r="D22" s="11" t="e">
        <f>D16-G16</f>
        <v>#REF!</v>
      </c>
      <c r="E22" s="12"/>
      <c r="F22" s="12"/>
      <c r="G22" s="12"/>
      <c r="H22" s="12"/>
      <c r="I22" s="12"/>
      <c r="J22" s="12"/>
      <c r="K22" s="12"/>
      <c r="L22" s="12"/>
      <c r="M22" s="12"/>
      <c r="N22" s="12"/>
      <c r="O22" s="12"/>
      <c r="P22" s="12"/>
      <c r="Q22" s="12"/>
      <c r="R22" s="12"/>
      <c r="S22" s="12"/>
      <c r="T22" s="12"/>
    </row>
    <row r="23" spans="1:23" s="11" customFormat="1" x14ac:dyDescent="0.25">
      <c r="E23" s="12"/>
      <c r="F23" s="12"/>
      <c r="G23" s="12"/>
      <c r="H23" s="12"/>
      <c r="I23" s="12"/>
      <c r="J23" s="12"/>
      <c r="K23" s="12"/>
      <c r="L23" s="12"/>
      <c r="M23" s="12"/>
      <c r="N23" s="12"/>
      <c r="O23" s="12"/>
      <c r="P23" s="12"/>
      <c r="Q23" s="12"/>
      <c r="R23" s="12"/>
      <c r="S23" s="12"/>
      <c r="T23" s="12"/>
    </row>
    <row r="24" spans="1:23" s="11" customFormat="1" x14ac:dyDescent="0.25">
      <c r="E24" s="12"/>
      <c r="F24" s="12"/>
      <c r="G24" s="12"/>
      <c r="H24" s="12"/>
      <c r="I24" s="12"/>
      <c r="J24" s="12"/>
      <c r="K24" s="12"/>
      <c r="L24" s="12"/>
      <c r="M24" s="12"/>
      <c r="N24" s="12"/>
      <c r="O24" s="12"/>
      <c r="P24" s="12"/>
      <c r="Q24" s="12"/>
      <c r="R24" s="12"/>
      <c r="S24" s="12"/>
      <c r="T24" s="12"/>
    </row>
    <row r="25" spans="1:23" s="11" customFormat="1" x14ac:dyDescent="0.25">
      <c r="E25" s="12"/>
      <c r="F25" s="12"/>
      <c r="G25" s="12"/>
      <c r="H25" s="12"/>
      <c r="I25" s="12"/>
      <c r="J25" s="12"/>
      <c r="K25" s="12"/>
      <c r="L25" s="12"/>
      <c r="M25" s="12"/>
      <c r="N25" s="12"/>
      <c r="O25" s="12"/>
      <c r="P25" s="12"/>
      <c r="Q25" s="12"/>
      <c r="R25" s="12"/>
      <c r="S25" s="12"/>
      <c r="T25" s="12"/>
    </row>
    <row r="26" spans="1:23" s="11" customFormat="1" x14ac:dyDescent="0.25">
      <c r="E26" s="12"/>
      <c r="F26" s="12"/>
      <c r="G26" s="12"/>
      <c r="H26" s="12"/>
      <c r="I26" s="12"/>
      <c r="J26" s="12"/>
      <c r="K26" s="12"/>
      <c r="L26" s="12"/>
      <c r="M26" s="12"/>
      <c r="N26" s="12"/>
      <c r="O26" s="12"/>
      <c r="P26" s="12"/>
      <c r="Q26" s="12"/>
      <c r="R26" s="12"/>
      <c r="S26" s="12"/>
      <c r="T26" s="12"/>
    </row>
    <row r="27" spans="1:23" s="11" customFormat="1" x14ac:dyDescent="0.25">
      <c r="E27" s="12"/>
      <c r="F27" s="12"/>
      <c r="G27" s="12"/>
      <c r="H27" s="12"/>
      <c r="I27" s="12"/>
      <c r="J27" s="12"/>
      <c r="K27" s="12"/>
      <c r="L27" s="12"/>
      <c r="M27" s="12"/>
      <c r="N27" s="12"/>
      <c r="O27" s="12"/>
      <c r="P27" s="12"/>
      <c r="Q27" s="12"/>
      <c r="R27" s="12"/>
      <c r="S27" s="12"/>
      <c r="T27" s="12"/>
    </row>
    <row r="28" spans="1:23" s="11" customFormat="1" x14ac:dyDescent="0.25">
      <c r="E28" s="12"/>
      <c r="F28" s="12"/>
      <c r="G28" s="12"/>
      <c r="H28" s="12"/>
      <c r="I28" s="12"/>
      <c r="J28" s="12"/>
      <c r="K28" s="12"/>
      <c r="L28" s="12"/>
      <c r="M28" s="12"/>
      <c r="N28" s="12"/>
      <c r="O28" s="12"/>
      <c r="P28" s="12"/>
      <c r="Q28" s="12"/>
      <c r="R28" s="12"/>
      <c r="S28" s="12"/>
      <c r="T28" s="12"/>
    </row>
    <row r="29" spans="1:23" s="11" customFormat="1" x14ac:dyDescent="0.25">
      <c r="E29" s="12"/>
      <c r="F29" s="12"/>
      <c r="G29" s="12"/>
      <c r="H29" s="12"/>
      <c r="I29" s="12"/>
      <c r="J29" s="12"/>
      <c r="K29" s="12"/>
      <c r="L29" s="12"/>
      <c r="M29" s="12"/>
      <c r="N29" s="12"/>
      <c r="O29" s="12"/>
      <c r="P29" s="12"/>
      <c r="Q29" s="12"/>
      <c r="R29" s="12"/>
      <c r="S29" s="12"/>
      <c r="T29" s="12"/>
    </row>
    <row r="30" spans="1:23" s="11" customFormat="1" x14ac:dyDescent="0.25">
      <c r="E30" s="12"/>
      <c r="F30" s="12"/>
      <c r="G30" s="12"/>
      <c r="H30" s="12"/>
      <c r="I30" s="12"/>
      <c r="J30" s="12"/>
      <c r="K30" s="12"/>
      <c r="L30" s="12"/>
      <c r="M30" s="12"/>
      <c r="N30" s="12"/>
      <c r="O30" s="12"/>
      <c r="P30" s="12"/>
      <c r="Q30" s="12"/>
      <c r="R30" s="12"/>
      <c r="S30" s="12"/>
      <c r="T30" s="12"/>
    </row>
    <row r="31" spans="1:23" s="11" customFormat="1" x14ac:dyDescent="0.25">
      <c r="E31" s="12"/>
      <c r="F31" s="12"/>
      <c r="G31" s="12"/>
      <c r="H31" s="12"/>
      <c r="I31" s="12"/>
      <c r="J31" s="12"/>
      <c r="K31" s="12"/>
      <c r="L31" s="12"/>
      <c r="M31" s="12"/>
      <c r="N31" s="12"/>
      <c r="O31" s="12"/>
      <c r="P31" s="12"/>
      <c r="Q31" s="12"/>
      <c r="R31" s="12"/>
      <c r="S31" s="12"/>
      <c r="T31" s="12"/>
    </row>
    <row r="32" spans="1:23" s="11" customFormat="1" x14ac:dyDescent="0.25">
      <c r="E32" s="12"/>
      <c r="F32" s="12"/>
      <c r="G32" s="12"/>
      <c r="H32" s="12"/>
      <c r="I32" s="12"/>
      <c r="J32" s="12"/>
      <c r="K32" s="12"/>
      <c r="L32" s="12"/>
      <c r="M32" s="12"/>
      <c r="N32" s="12"/>
      <c r="O32" s="12"/>
      <c r="P32" s="12"/>
      <c r="Q32" s="12"/>
      <c r="R32" s="12"/>
      <c r="S32" s="12"/>
      <c r="T32" s="12"/>
    </row>
    <row r="33" spans="5:20" s="11" customFormat="1" x14ac:dyDescent="0.25">
      <c r="E33" s="12"/>
      <c r="F33" s="12"/>
      <c r="G33" s="12"/>
      <c r="H33" s="12"/>
      <c r="I33" s="12"/>
      <c r="J33" s="12"/>
      <c r="K33" s="12"/>
      <c r="L33" s="12"/>
      <c r="M33" s="12"/>
      <c r="N33" s="12"/>
      <c r="O33" s="12"/>
      <c r="P33" s="12"/>
      <c r="Q33" s="12"/>
      <c r="R33" s="12"/>
      <c r="S33" s="12"/>
      <c r="T33" s="12"/>
    </row>
    <row r="34" spans="5:20" s="11" customFormat="1" x14ac:dyDescent="0.25">
      <c r="E34" s="12"/>
      <c r="F34" s="12"/>
      <c r="G34" s="12"/>
      <c r="H34" s="12"/>
      <c r="I34" s="12"/>
      <c r="J34" s="12"/>
      <c r="K34" s="12"/>
      <c r="L34" s="12"/>
      <c r="M34" s="12"/>
      <c r="N34" s="12"/>
      <c r="O34" s="12"/>
      <c r="P34" s="12"/>
      <c r="Q34" s="12"/>
      <c r="R34" s="12"/>
      <c r="S34" s="12"/>
      <c r="T34" s="12"/>
    </row>
    <row r="35" spans="5:20" s="11" customFormat="1" x14ac:dyDescent="0.25">
      <c r="E35" s="12"/>
      <c r="F35" s="12"/>
      <c r="G35" s="12"/>
      <c r="H35" s="12"/>
      <c r="I35" s="12"/>
      <c r="J35" s="12"/>
      <c r="K35" s="12"/>
      <c r="L35" s="12"/>
      <c r="M35" s="12"/>
      <c r="N35" s="12"/>
      <c r="O35" s="12"/>
      <c r="P35" s="12"/>
      <c r="Q35" s="12"/>
      <c r="R35" s="12"/>
      <c r="S35" s="12"/>
      <c r="T35" s="12"/>
    </row>
    <row r="36" spans="5:20" s="11" customFormat="1" x14ac:dyDescent="0.25">
      <c r="E36" s="12"/>
      <c r="F36" s="12"/>
      <c r="G36" s="12"/>
      <c r="H36" s="12"/>
      <c r="I36" s="12"/>
      <c r="J36" s="12"/>
      <c r="K36" s="12"/>
      <c r="L36" s="12"/>
      <c r="M36" s="12"/>
      <c r="N36" s="12"/>
      <c r="O36" s="12"/>
      <c r="P36" s="12"/>
      <c r="Q36" s="12"/>
      <c r="R36" s="12"/>
      <c r="S36" s="12"/>
      <c r="T36" s="12"/>
    </row>
    <row r="37" spans="5:20" s="11" customFormat="1" x14ac:dyDescent="0.25">
      <c r="E37" s="12"/>
      <c r="F37" s="12"/>
      <c r="G37" s="12"/>
      <c r="H37" s="12"/>
      <c r="I37" s="12"/>
      <c r="J37" s="12"/>
      <c r="K37" s="12"/>
      <c r="L37" s="12"/>
      <c r="M37" s="12"/>
      <c r="N37" s="12"/>
      <c r="O37" s="12"/>
      <c r="P37" s="12"/>
      <c r="Q37" s="12"/>
      <c r="R37" s="12"/>
      <c r="S37" s="12"/>
      <c r="T37" s="12"/>
    </row>
    <row r="38" spans="5:20" s="11" customFormat="1" x14ac:dyDescent="0.25">
      <c r="E38" s="12"/>
      <c r="F38" s="12"/>
      <c r="G38" s="12"/>
      <c r="H38" s="12"/>
      <c r="I38" s="12"/>
      <c r="J38" s="12"/>
      <c r="K38" s="12"/>
      <c r="L38" s="12"/>
      <c r="M38" s="12"/>
      <c r="N38" s="12"/>
      <c r="O38" s="12"/>
      <c r="P38" s="12"/>
      <c r="Q38" s="12"/>
      <c r="R38" s="12"/>
      <c r="S38" s="12"/>
      <c r="T38" s="12"/>
    </row>
    <row r="39" spans="5:20" s="11" customFormat="1" x14ac:dyDescent="0.25">
      <c r="E39" s="12"/>
      <c r="F39" s="12"/>
      <c r="G39" s="12"/>
      <c r="H39" s="12"/>
      <c r="I39" s="12"/>
      <c r="J39" s="12"/>
      <c r="K39" s="12"/>
      <c r="L39" s="12"/>
      <c r="M39" s="12"/>
      <c r="N39" s="12"/>
      <c r="O39" s="12"/>
      <c r="P39" s="12"/>
      <c r="Q39" s="12"/>
      <c r="R39" s="12"/>
      <c r="S39" s="12"/>
      <c r="T39" s="12"/>
    </row>
    <row r="40" spans="5:20" s="11" customFormat="1" x14ac:dyDescent="0.25">
      <c r="E40" s="12"/>
      <c r="F40" s="12"/>
      <c r="G40" s="12"/>
      <c r="H40" s="12"/>
      <c r="I40" s="12"/>
      <c r="J40" s="12"/>
      <c r="K40" s="12"/>
      <c r="L40" s="12"/>
      <c r="M40" s="12"/>
      <c r="N40" s="12"/>
      <c r="O40" s="12"/>
      <c r="P40" s="12"/>
      <c r="Q40" s="12"/>
      <c r="R40" s="12"/>
      <c r="S40" s="12"/>
      <c r="T40" s="12"/>
    </row>
    <row r="41" spans="5:20" s="11" customFormat="1" x14ac:dyDescent="0.25">
      <c r="E41" s="12"/>
      <c r="F41" s="12"/>
      <c r="G41" s="12"/>
      <c r="H41" s="12"/>
      <c r="I41" s="12"/>
      <c r="J41" s="12"/>
      <c r="K41" s="12"/>
      <c r="L41" s="12"/>
      <c r="M41" s="12"/>
      <c r="N41" s="12"/>
      <c r="O41" s="12"/>
      <c r="P41" s="12"/>
      <c r="Q41" s="12"/>
      <c r="R41" s="12"/>
      <c r="S41" s="12"/>
      <c r="T41" s="12"/>
    </row>
    <row r="42" spans="5:20" s="11" customFormat="1" x14ac:dyDescent="0.25">
      <c r="E42" s="12"/>
      <c r="F42" s="12"/>
      <c r="G42" s="12"/>
      <c r="H42" s="12"/>
      <c r="I42" s="12"/>
      <c r="J42" s="12"/>
      <c r="K42" s="12"/>
      <c r="L42" s="12"/>
      <c r="M42" s="12"/>
      <c r="N42" s="12"/>
      <c r="O42" s="12"/>
      <c r="P42" s="12"/>
      <c r="Q42" s="12"/>
      <c r="R42" s="12"/>
      <c r="S42" s="12"/>
      <c r="T42" s="12"/>
    </row>
    <row r="43" spans="5:20" s="11" customFormat="1" x14ac:dyDescent="0.25">
      <c r="E43" s="12"/>
      <c r="F43" s="12"/>
      <c r="G43" s="12"/>
      <c r="H43" s="12"/>
      <c r="I43" s="12"/>
      <c r="J43" s="12"/>
      <c r="K43" s="12"/>
      <c r="L43" s="12"/>
      <c r="M43" s="12"/>
      <c r="N43" s="12"/>
      <c r="O43" s="12"/>
      <c r="P43" s="12"/>
      <c r="Q43" s="12"/>
      <c r="R43" s="12"/>
      <c r="S43" s="12"/>
      <c r="T43" s="12"/>
    </row>
    <row r="44" spans="5:20" s="11" customFormat="1" x14ac:dyDescent="0.25">
      <c r="E44" s="12"/>
      <c r="F44" s="12"/>
      <c r="G44" s="12"/>
      <c r="H44" s="12"/>
      <c r="I44" s="12"/>
      <c r="J44" s="12"/>
      <c r="K44" s="12"/>
      <c r="L44" s="12"/>
      <c r="M44" s="12"/>
      <c r="N44" s="12"/>
      <c r="O44" s="12"/>
      <c r="P44" s="12"/>
      <c r="Q44" s="12"/>
      <c r="R44" s="12"/>
      <c r="S44" s="12"/>
      <c r="T44" s="12"/>
    </row>
    <row r="45" spans="5:20" s="11" customFormat="1" x14ac:dyDescent="0.25">
      <c r="E45" s="12"/>
      <c r="F45" s="12"/>
      <c r="G45" s="12"/>
      <c r="H45" s="12"/>
      <c r="I45" s="12"/>
      <c r="J45" s="12"/>
      <c r="K45" s="12"/>
      <c r="L45" s="12"/>
      <c r="M45" s="12"/>
      <c r="N45" s="12"/>
      <c r="O45" s="12"/>
      <c r="P45" s="12"/>
      <c r="Q45" s="12"/>
      <c r="R45" s="12"/>
      <c r="S45" s="12"/>
      <c r="T45" s="12"/>
    </row>
    <row r="46" spans="5:20" s="11" customFormat="1" x14ac:dyDescent="0.25">
      <c r="E46" s="12"/>
      <c r="F46" s="12"/>
      <c r="G46" s="12"/>
      <c r="H46" s="12"/>
      <c r="I46" s="12"/>
      <c r="J46" s="12"/>
      <c r="K46" s="12"/>
      <c r="L46" s="12"/>
      <c r="M46" s="12"/>
      <c r="N46" s="12"/>
      <c r="O46" s="12"/>
      <c r="P46" s="12"/>
      <c r="Q46" s="12"/>
      <c r="R46" s="12"/>
      <c r="S46" s="12"/>
      <c r="T46" s="12"/>
    </row>
  </sheetData>
  <mergeCells count="18">
    <mergeCell ref="A2:W2"/>
    <mergeCell ref="A4:W4"/>
    <mergeCell ref="A8:A9"/>
    <mergeCell ref="B8:B9"/>
    <mergeCell ref="C8:E8"/>
    <mergeCell ref="F8:H8"/>
    <mergeCell ref="I8:K8"/>
    <mergeCell ref="U8:W8"/>
    <mergeCell ref="U18:W18"/>
    <mergeCell ref="L8:N8"/>
    <mergeCell ref="O8:Q8"/>
    <mergeCell ref="R8:T8"/>
    <mergeCell ref="R12:R15"/>
    <mergeCell ref="S12:S15"/>
    <mergeCell ref="T12:T15"/>
    <mergeCell ref="U12:U15"/>
    <mergeCell ref="V12:V15"/>
    <mergeCell ref="W12:W15"/>
  </mergeCells>
  <pageMargins left="0.19685039370078741" right="0.19685039370078741" top="0.74803149606299213" bottom="0.74803149606299213" header="0.31496062992125984" footer="0.31496062992125984"/>
  <pageSetup paperSize="9" scale="42"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105"/>
  <sheetViews>
    <sheetView view="pageBreakPreview" zoomScale="80" zoomScaleNormal="80" zoomScaleSheetLayoutView="80" workbookViewId="0">
      <pane xSplit="3" ySplit="8" topLeftCell="P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488"/>
      <c r="AF1" s="488"/>
      <c r="AG1" s="488"/>
      <c r="AH1" s="488"/>
    </row>
    <row r="2" spans="1:45" ht="24" customHeight="1" x14ac:dyDescent="0.25">
      <c r="A2" s="489" t="s">
        <v>146</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5"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37"/>
    </row>
    <row r="4" spans="1:45" x14ac:dyDescent="0.25">
      <c r="L4" s="38">
        <v>0.33837499999999998</v>
      </c>
      <c r="V4" s="39"/>
      <c r="W4" s="39"/>
    </row>
    <row r="5" spans="1:45" ht="38.25" customHeight="1" x14ac:dyDescent="0.25">
      <c r="A5" s="491" t="s">
        <v>78</v>
      </c>
      <c r="B5" s="491"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5" ht="60" customHeight="1" x14ac:dyDescent="0.25">
      <c r="A6" s="491"/>
      <c r="B6" s="491"/>
      <c r="C6" s="479"/>
      <c r="D6" s="478" t="s">
        <v>68</v>
      </c>
      <c r="E6" s="478" t="s">
        <v>69</v>
      </c>
      <c r="F6" s="478" t="s">
        <v>89</v>
      </c>
      <c r="G6" s="478" t="s">
        <v>1</v>
      </c>
      <c r="H6" s="478" t="s">
        <v>2</v>
      </c>
      <c r="I6" s="478" t="s">
        <v>70</v>
      </c>
      <c r="J6" s="478" t="s">
        <v>61</v>
      </c>
      <c r="K6" s="478" t="s">
        <v>27</v>
      </c>
      <c r="L6" s="482" t="s">
        <v>65</v>
      </c>
      <c r="M6" s="482" t="s">
        <v>93</v>
      </c>
      <c r="N6" s="483" t="s">
        <v>91</v>
      </c>
      <c r="O6" s="483"/>
      <c r="P6" s="483" t="s">
        <v>88</v>
      </c>
      <c r="Q6" s="482" t="s">
        <v>82</v>
      </c>
      <c r="R6" s="478" t="s">
        <v>83</v>
      </c>
      <c r="S6" s="482"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5" ht="97.5" customHeight="1" x14ac:dyDescent="0.25">
      <c r="A7" s="491"/>
      <c r="B7" s="491"/>
      <c r="C7" s="479"/>
      <c r="D7" s="478"/>
      <c r="E7" s="478"/>
      <c r="F7" s="478"/>
      <c r="G7" s="478"/>
      <c r="H7" s="478"/>
      <c r="I7" s="478"/>
      <c r="J7" s="478"/>
      <c r="K7" s="478"/>
      <c r="L7" s="482" t="s">
        <v>66</v>
      </c>
      <c r="M7" s="482"/>
      <c r="N7" s="41" t="s">
        <v>80</v>
      </c>
      <c r="O7" s="41" t="s">
        <v>81</v>
      </c>
      <c r="P7" s="483"/>
      <c r="Q7" s="482"/>
      <c r="R7" s="478"/>
      <c r="S7" s="482" t="s">
        <v>67</v>
      </c>
      <c r="T7" s="478"/>
      <c r="U7" s="478"/>
      <c r="V7" s="478"/>
      <c r="W7" s="478"/>
      <c r="X7" s="42" t="s">
        <v>5</v>
      </c>
      <c r="Y7" s="42" t="s">
        <v>6</v>
      </c>
      <c r="Z7" s="42" t="s">
        <v>74</v>
      </c>
      <c r="AA7" s="42" t="s">
        <v>5</v>
      </c>
      <c r="AB7" s="42" t="s">
        <v>6</v>
      </c>
      <c r="AC7" s="42" t="s">
        <v>75</v>
      </c>
      <c r="AD7" s="42" t="s">
        <v>5</v>
      </c>
      <c r="AE7" s="42" t="s">
        <v>6</v>
      </c>
      <c r="AF7" s="42" t="s">
        <v>76</v>
      </c>
      <c r="AG7" s="479"/>
      <c r="AH7" s="479"/>
      <c r="AK7" s="211" t="s">
        <v>64</v>
      </c>
      <c r="AL7" s="211" t="s">
        <v>62</v>
      </c>
      <c r="AM7" s="70" t="s">
        <v>71</v>
      </c>
    </row>
    <row r="8" spans="1:45"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77">
        <v>23</v>
      </c>
      <c r="X8" s="23">
        <v>24</v>
      </c>
      <c r="Y8" s="23">
        <v>25</v>
      </c>
      <c r="Z8" s="23">
        <v>26</v>
      </c>
      <c r="AA8" s="23">
        <v>27</v>
      </c>
      <c r="AB8" s="23">
        <v>28</v>
      </c>
      <c r="AC8" s="23">
        <v>29</v>
      </c>
      <c r="AD8" s="23">
        <v>30</v>
      </c>
      <c r="AE8" s="23">
        <v>31</v>
      </c>
      <c r="AF8" s="23">
        <v>32</v>
      </c>
      <c r="AG8" s="23">
        <v>33</v>
      </c>
      <c r="AH8" s="23">
        <v>34</v>
      </c>
      <c r="AN8" s="212" t="s">
        <v>116</v>
      </c>
      <c r="AO8" s="212" t="s">
        <v>117</v>
      </c>
      <c r="AP8" s="212" t="s">
        <v>118</v>
      </c>
      <c r="AQ8" s="212" t="s">
        <v>119</v>
      </c>
    </row>
    <row r="9" spans="1:45" ht="16.5" customHeight="1" x14ac:dyDescent="0.25">
      <c r="A9" s="276">
        <v>1</v>
      </c>
      <c r="B9" s="44" t="s">
        <v>14</v>
      </c>
      <c r="C9" s="276">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486">
        <v>1</v>
      </c>
      <c r="V9" s="154">
        <f>T9*$U$9</f>
        <v>2836.9</v>
      </c>
      <c r="W9" s="154">
        <f>AQ9</f>
        <v>597.20000000000005</v>
      </c>
      <c r="X9" s="276">
        <v>1</v>
      </c>
      <c r="Y9" s="24">
        <v>30</v>
      </c>
      <c r="Z9" s="48">
        <f>X9*Y9</f>
        <v>30</v>
      </c>
      <c r="AA9" s="276"/>
      <c r="AB9" s="24">
        <v>15</v>
      </c>
      <c r="AC9" s="48">
        <f>AA9*AB9</f>
        <v>0</v>
      </c>
      <c r="AD9" s="276"/>
      <c r="AE9" s="24">
        <v>30</v>
      </c>
      <c r="AF9" s="48">
        <f>AD9*AE9</f>
        <v>0</v>
      </c>
      <c r="AG9" s="276">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6">
        <v>2</v>
      </c>
      <c r="B10" s="44" t="s">
        <v>125</v>
      </c>
      <c r="C10" s="276">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487"/>
      <c r="V10" s="154">
        <f t="shared" ref="V10:V50" si="5">T10*$U$9</f>
        <v>1508.7</v>
      </c>
      <c r="W10" s="154">
        <f>AQ10</f>
        <v>394</v>
      </c>
      <c r="X10" s="276"/>
      <c r="Y10" s="24">
        <v>30</v>
      </c>
      <c r="Z10" s="48">
        <f>X10*Y10</f>
        <v>0</v>
      </c>
      <c r="AA10" s="276"/>
      <c r="AB10" s="24">
        <v>15</v>
      </c>
      <c r="AC10" s="48">
        <f>AA10*AB10</f>
        <v>0</v>
      </c>
      <c r="AD10" s="276"/>
      <c r="AE10" s="24">
        <v>30</v>
      </c>
      <c r="AF10" s="48">
        <f>AD10*AE10</f>
        <v>0</v>
      </c>
      <c r="AG10" s="276">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6">
        <v>3</v>
      </c>
      <c r="B11" s="44" t="s">
        <v>125</v>
      </c>
      <c r="C11" s="276">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487"/>
      <c r="V11" s="154">
        <f t="shared" si="5"/>
        <v>1378.5</v>
      </c>
      <c r="W11" s="154">
        <f>AQ11</f>
        <v>374.1</v>
      </c>
      <c r="X11" s="276">
        <v>1</v>
      </c>
      <c r="Y11" s="24">
        <v>30</v>
      </c>
      <c r="Z11" s="48">
        <f>X11*Y11</f>
        <v>30</v>
      </c>
      <c r="AA11" s="276"/>
      <c r="AB11" s="24">
        <v>15</v>
      </c>
      <c r="AC11" s="48">
        <f>AA11*AB11</f>
        <v>0</v>
      </c>
      <c r="AD11" s="276"/>
      <c r="AE11" s="24">
        <v>30</v>
      </c>
      <c r="AF11" s="48">
        <f>AD11*AE11</f>
        <v>0</v>
      </c>
      <c r="AG11" s="276">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7">
        <v>4</v>
      </c>
      <c r="B12" s="44" t="s">
        <v>125</v>
      </c>
      <c r="C12" s="277">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487"/>
      <c r="V12" s="154">
        <f t="shared" si="5"/>
        <v>1135.3</v>
      </c>
      <c r="W12" s="154">
        <f>AQ12</f>
        <v>336.8</v>
      </c>
      <c r="X12" s="277">
        <v>1</v>
      </c>
      <c r="Y12" s="24">
        <v>30</v>
      </c>
      <c r="Z12" s="48">
        <f>X12*Y12</f>
        <v>30</v>
      </c>
      <c r="AA12" s="277">
        <v>2</v>
      </c>
      <c r="AB12" s="24">
        <v>15</v>
      </c>
      <c r="AC12" s="48">
        <f>AA12*AB12</f>
        <v>30</v>
      </c>
      <c r="AD12" s="277">
        <v>1</v>
      </c>
      <c r="AE12" s="24">
        <v>30</v>
      </c>
      <c r="AF12" s="48">
        <f>AD12*AE12</f>
        <v>30</v>
      </c>
      <c r="AG12" s="277">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6">
        <v>5</v>
      </c>
      <c r="B13" s="218" t="s">
        <v>16</v>
      </c>
      <c r="C13" s="276">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487"/>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6">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6">
        <v>6</v>
      </c>
      <c r="B14" s="218" t="s">
        <v>16</v>
      </c>
      <c r="C14" s="276">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487"/>
      <c r="V14" s="154">
        <f t="shared" si="5"/>
        <v>912</v>
      </c>
      <c r="W14" s="154">
        <f>AQ14</f>
        <v>274</v>
      </c>
      <c r="X14" s="54">
        <v>1</v>
      </c>
      <c r="Y14" s="24">
        <v>30</v>
      </c>
      <c r="Z14" s="48">
        <f t="shared" si="17"/>
        <v>30</v>
      </c>
      <c r="AA14" s="54"/>
      <c r="AB14" s="24">
        <v>15</v>
      </c>
      <c r="AC14" s="48">
        <f t="shared" si="18"/>
        <v>0</v>
      </c>
      <c r="AD14" s="54"/>
      <c r="AE14" s="24">
        <v>30</v>
      </c>
      <c r="AF14" s="48">
        <f>AD14*AE14</f>
        <v>0</v>
      </c>
      <c r="AG14" s="276">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6">
        <v>8</v>
      </c>
      <c r="B15" s="218" t="s">
        <v>45</v>
      </c>
      <c r="C15" s="276">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487"/>
      <c r="V15" s="154">
        <f t="shared" si="5"/>
        <v>894.2</v>
      </c>
      <c r="W15" s="154">
        <f>AQ15</f>
        <v>269.2</v>
      </c>
      <c r="X15" s="54"/>
      <c r="Y15" s="24">
        <v>30</v>
      </c>
      <c r="Z15" s="48">
        <f t="shared" si="17"/>
        <v>0</v>
      </c>
      <c r="AA15" s="54"/>
      <c r="AB15" s="24">
        <v>15</v>
      </c>
      <c r="AC15" s="48">
        <f t="shared" si="18"/>
        <v>0</v>
      </c>
      <c r="AD15" s="54"/>
      <c r="AE15" s="24">
        <v>30</v>
      </c>
      <c r="AF15" s="48">
        <f t="shared" si="19"/>
        <v>0</v>
      </c>
      <c r="AG15" s="276">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6">
        <v>9</v>
      </c>
      <c r="B16" s="218" t="s">
        <v>46</v>
      </c>
      <c r="C16" s="276">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487"/>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6">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6">
        <v>10</v>
      </c>
      <c r="B17" s="218" t="s">
        <v>100</v>
      </c>
      <c r="C17" s="276">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487"/>
      <c r="V17" s="154">
        <f t="shared" si="5"/>
        <v>702.3</v>
      </c>
      <c r="W17" s="154">
        <f>V17*0.302</f>
        <v>212.1</v>
      </c>
      <c r="X17" s="54">
        <v>1</v>
      </c>
      <c r="Y17" s="24">
        <v>30</v>
      </c>
      <c r="Z17" s="48">
        <f>X17*Y17</f>
        <v>30</v>
      </c>
      <c r="AA17" s="54"/>
      <c r="AB17" s="24">
        <v>15</v>
      </c>
      <c r="AC17" s="48">
        <f>AA17*AB17</f>
        <v>0</v>
      </c>
      <c r="AD17" s="54"/>
      <c r="AE17" s="24">
        <v>30</v>
      </c>
      <c r="AF17" s="48">
        <f>AD17*AE17</f>
        <v>0</v>
      </c>
      <c r="AG17" s="276">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6">
        <v>11</v>
      </c>
      <c r="B18" s="218" t="s">
        <v>105</v>
      </c>
      <c r="C18" s="276">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487"/>
      <c r="V18" s="154">
        <f t="shared" si="5"/>
        <v>1303</v>
      </c>
      <c r="W18" s="154">
        <f>V18*0.302</f>
        <v>393.5</v>
      </c>
      <c r="X18" s="54"/>
      <c r="Y18" s="24">
        <v>30</v>
      </c>
      <c r="Z18" s="48">
        <f t="shared" si="17"/>
        <v>0</v>
      </c>
      <c r="AA18" s="54"/>
      <c r="AB18" s="24">
        <v>15</v>
      </c>
      <c r="AC18" s="48">
        <f t="shared" si="18"/>
        <v>0</v>
      </c>
      <c r="AD18" s="54"/>
      <c r="AE18" s="24">
        <v>30</v>
      </c>
      <c r="AF18" s="48">
        <f t="shared" si="19"/>
        <v>0</v>
      </c>
      <c r="AG18" s="276">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6">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487"/>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6">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6">
        <v>13</v>
      </c>
      <c r="B20" s="218" t="s">
        <v>48</v>
      </c>
      <c r="C20" s="276">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487"/>
      <c r="V20" s="154">
        <f t="shared" si="5"/>
        <v>890.5</v>
      </c>
      <c r="W20" s="154">
        <f>AQ20</f>
        <v>268.2</v>
      </c>
      <c r="X20" s="54">
        <v>1</v>
      </c>
      <c r="Y20" s="24">
        <v>30</v>
      </c>
      <c r="Z20" s="48">
        <f>X20*Y20</f>
        <v>30</v>
      </c>
      <c r="AA20" s="54"/>
      <c r="AB20" s="24">
        <v>15</v>
      </c>
      <c r="AC20" s="48">
        <f>AA20*AB20</f>
        <v>0</v>
      </c>
      <c r="AD20" s="54"/>
      <c r="AE20" s="24">
        <v>30</v>
      </c>
      <c r="AF20" s="48">
        <f>AD20*AE20</f>
        <v>0</v>
      </c>
      <c r="AG20" s="276">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6">
        <v>14</v>
      </c>
      <c r="B21" s="218" t="s">
        <v>31</v>
      </c>
      <c r="C21" s="276">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487"/>
      <c r="V21" s="154">
        <f t="shared" si="5"/>
        <v>4701.3</v>
      </c>
      <c r="W21" s="154">
        <f>AQ21*C21</f>
        <v>1409</v>
      </c>
      <c r="X21" s="54">
        <v>4</v>
      </c>
      <c r="Y21" s="24">
        <v>30</v>
      </c>
      <c r="Z21" s="48">
        <f>X21*Y21</f>
        <v>120</v>
      </c>
      <c r="AA21" s="54">
        <v>2</v>
      </c>
      <c r="AB21" s="24">
        <v>15</v>
      </c>
      <c r="AC21" s="48">
        <f>AA21*AB21</f>
        <v>30</v>
      </c>
      <c r="AD21" s="54">
        <v>1</v>
      </c>
      <c r="AE21" s="24">
        <v>30</v>
      </c>
      <c r="AF21" s="48">
        <f>AD21*AE21</f>
        <v>30</v>
      </c>
      <c r="AG21" s="276">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6">
        <v>15</v>
      </c>
      <c r="B22" s="218" t="s">
        <v>110</v>
      </c>
      <c r="C22" s="276">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487"/>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6">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6">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487"/>
      <c r="V23" s="154">
        <f t="shared" si="5"/>
        <v>682.6</v>
      </c>
      <c r="W23" s="154">
        <f t="shared" si="20"/>
        <v>206.1</v>
      </c>
      <c r="X23" s="276">
        <v>1</v>
      </c>
      <c r="Y23" s="24">
        <v>30</v>
      </c>
      <c r="Z23" s="48">
        <f>X23*Y23</f>
        <v>30</v>
      </c>
      <c r="AA23" s="54">
        <v>1</v>
      </c>
      <c r="AB23" s="24">
        <v>15</v>
      </c>
      <c r="AC23" s="48">
        <f>AA23*AB23</f>
        <v>15</v>
      </c>
      <c r="AD23" s="54"/>
      <c r="AE23" s="24">
        <v>30</v>
      </c>
      <c r="AF23" s="48">
        <f>AD23*AE23</f>
        <v>0</v>
      </c>
      <c r="AG23" s="276">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6">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487"/>
      <c r="V24" s="154">
        <f t="shared" si="5"/>
        <v>708.4</v>
      </c>
      <c r="W24" s="154">
        <f t="shared" si="20"/>
        <v>213.9</v>
      </c>
      <c r="X24" s="276"/>
      <c r="Y24" s="24">
        <v>30</v>
      </c>
      <c r="Z24" s="48">
        <f>X24*Y24</f>
        <v>0</v>
      </c>
      <c r="AA24" s="54"/>
      <c r="AB24" s="24">
        <v>15</v>
      </c>
      <c r="AC24" s="48">
        <f>AA24*AB24</f>
        <v>0</v>
      </c>
      <c r="AD24" s="54"/>
      <c r="AE24" s="24">
        <v>30</v>
      </c>
      <c r="AF24" s="48">
        <f>AD24*AE24</f>
        <v>0</v>
      </c>
      <c r="AG24" s="276">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6">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487"/>
      <c r="V25" s="154">
        <f t="shared" si="5"/>
        <v>714.5</v>
      </c>
      <c r="W25" s="154">
        <f t="shared" si="20"/>
        <v>215.8</v>
      </c>
      <c r="X25" s="276">
        <v>1</v>
      </c>
      <c r="Y25" s="24">
        <v>30</v>
      </c>
      <c r="Z25" s="48">
        <f t="shared" ref="Z25:Z38" si="30">X25*Y25</f>
        <v>30</v>
      </c>
      <c r="AA25" s="54"/>
      <c r="AB25" s="24">
        <v>15</v>
      </c>
      <c r="AC25" s="48">
        <f t="shared" ref="AC25:AC38" si="31">AA25*AB25</f>
        <v>0</v>
      </c>
      <c r="AD25" s="54"/>
      <c r="AE25" s="24">
        <v>30</v>
      </c>
      <c r="AF25" s="48">
        <f t="shared" ref="AF25:AF41" si="32">AD25*AE25</f>
        <v>0</v>
      </c>
      <c r="AG25" s="276">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6">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487"/>
      <c r="V26" s="154">
        <f t="shared" si="5"/>
        <v>622.79999999999995</v>
      </c>
      <c r="W26" s="154">
        <f t="shared" si="20"/>
        <v>188.1</v>
      </c>
      <c r="X26" s="276">
        <v>1</v>
      </c>
      <c r="Y26" s="24">
        <v>30</v>
      </c>
      <c r="Z26" s="48">
        <f t="shared" si="30"/>
        <v>30</v>
      </c>
      <c r="AA26" s="54"/>
      <c r="AB26" s="24">
        <v>15</v>
      </c>
      <c r="AC26" s="48">
        <f t="shared" si="31"/>
        <v>0</v>
      </c>
      <c r="AD26" s="54"/>
      <c r="AE26" s="24">
        <v>30</v>
      </c>
      <c r="AF26" s="48">
        <f t="shared" si="32"/>
        <v>0</v>
      </c>
      <c r="AG26" s="276">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6">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487"/>
      <c r="V27" s="154">
        <f t="shared" si="5"/>
        <v>257.60000000000002</v>
      </c>
      <c r="W27" s="154">
        <f t="shared" si="20"/>
        <v>77.8</v>
      </c>
      <c r="X27" s="276"/>
      <c r="Y27" s="24">
        <v>30</v>
      </c>
      <c r="Z27" s="48">
        <f t="shared" si="30"/>
        <v>0</v>
      </c>
      <c r="AA27" s="54"/>
      <c r="AB27" s="24">
        <v>15</v>
      </c>
      <c r="AC27" s="48">
        <f t="shared" si="31"/>
        <v>0</v>
      </c>
      <c r="AD27" s="54"/>
      <c r="AE27" s="24">
        <v>30</v>
      </c>
      <c r="AF27" s="48">
        <f t="shared" si="32"/>
        <v>0</v>
      </c>
      <c r="AG27" s="276">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6">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487"/>
      <c r="V28" s="154">
        <f t="shared" si="5"/>
        <v>897.5</v>
      </c>
      <c r="W28" s="154">
        <f>AQ28</f>
        <v>270.2</v>
      </c>
      <c r="X28" s="276"/>
      <c r="Y28" s="24">
        <v>30</v>
      </c>
      <c r="Z28" s="48">
        <f t="shared" si="30"/>
        <v>0</v>
      </c>
      <c r="AA28" s="54"/>
      <c r="AB28" s="24">
        <v>15</v>
      </c>
      <c r="AC28" s="48">
        <f t="shared" si="31"/>
        <v>0</v>
      </c>
      <c r="AD28" s="54"/>
      <c r="AE28" s="24">
        <v>30</v>
      </c>
      <c r="AF28" s="48">
        <f t="shared" si="32"/>
        <v>0</v>
      </c>
      <c r="AG28" s="276">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6">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487"/>
      <c r="V29" s="154">
        <f t="shared" si="5"/>
        <v>1757.2</v>
      </c>
      <c r="W29" s="154">
        <f>AQ29*C29</f>
        <v>530</v>
      </c>
      <c r="X29" s="276">
        <v>1</v>
      </c>
      <c r="Y29" s="24">
        <v>30</v>
      </c>
      <c r="Z29" s="48">
        <f t="shared" si="30"/>
        <v>30</v>
      </c>
      <c r="AA29" s="54">
        <v>2</v>
      </c>
      <c r="AB29" s="24">
        <v>15</v>
      </c>
      <c r="AC29" s="48">
        <f t="shared" si="31"/>
        <v>30</v>
      </c>
      <c r="AD29" s="54"/>
      <c r="AE29" s="24">
        <v>30</v>
      </c>
      <c r="AF29" s="48">
        <f t="shared" si="32"/>
        <v>0</v>
      </c>
      <c r="AG29" s="276">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6">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487"/>
      <c r="V30" s="154">
        <f t="shared" si="5"/>
        <v>676.5</v>
      </c>
      <c r="W30" s="154">
        <f t="shared" si="20"/>
        <v>204.3</v>
      </c>
      <c r="X30" s="276">
        <v>1</v>
      </c>
      <c r="Y30" s="24">
        <v>30</v>
      </c>
      <c r="Z30" s="48">
        <f t="shared" si="30"/>
        <v>30</v>
      </c>
      <c r="AA30" s="54">
        <v>1</v>
      </c>
      <c r="AB30" s="24">
        <v>15</v>
      </c>
      <c r="AC30" s="48">
        <f t="shared" si="31"/>
        <v>15</v>
      </c>
      <c r="AD30" s="54">
        <v>1</v>
      </c>
      <c r="AE30" s="24">
        <v>30</v>
      </c>
      <c r="AF30" s="48">
        <f t="shared" si="32"/>
        <v>30</v>
      </c>
      <c r="AG30" s="276">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6">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487"/>
      <c r="V31" s="154">
        <f t="shared" si="5"/>
        <v>1896.4</v>
      </c>
      <c r="W31" s="154">
        <f t="shared" si="20"/>
        <v>572.70000000000005</v>
      </c>
      <c r="X31" s="276">
        <v>1</v>
      </c>
      <c r="Y31" s="24">
        <v>30</v>
      </c>
      <c r="Z31" s="48">
        <f t="shared" si="30"/>
        <v>30</v>
      </c>
      <c r="AA31" s="54">
        <v>3</v>
      </c>
      <c r="AB31" s="24">
        <v>15</v>
      </c>
      <c r="AC31" s="48">
        <f t="shared" si="31"/>
        <v>45</v>
      </c>
      <c r="AD31" s="54"/>
      <c r="AE31" s="24">
        <v>30</v>
      </c>
      <c r="AF31" s="48">
        <f t="shared" si="32"/>
        <v>0</v>
      </c>
      <c r="AG31" s="276">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6">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487"/>
      <c r="V32" s="154">
        <f t="shared" si="5"/>
        <v>878.1</v>
      </c>
      <c r="W32" s="154">
        <f>AQ32</f>
        <v>264.8</v>
      </c>
      <c r="X32" s="276"/>
      <c r="Y32" s="24">
        <v>30</v>
      </c>
      <c r="Z32" s="48">
        <f t="shared" si="30"/>
        <v>0</v>
      </c>
      <c r="AA32" s="54"/>
      <c r="AB32" s="24">
        <v>15</v>
      </c>
      <c r="AC32" s="48">
        <f t="shared" si="31"/>
        <v>0</v>
      </c>
      <c r="AD32" s="54"/>
      <c r="AE32" s="24">
        <v>30</v>
      </c>
      <c r="AF32" s="48">
        <f t="shared" si="32"/>
        <v>0</v>
      </c>
      <c r="AG32" s="276">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6">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487"/>
      <c r="V33" s="154">
        <f t="shared" si="5"/>
        <v>2452.4</v>
      </c>
      <c r="W33" s="154">
        <f t="shared" si="20"/>
        <v>740.6</v>
      </c>
      <c r="X33" s="276">
        <v>1</v>
      </c>
      <c r="Y33" s="24">
        <v>30</v>
      </c>
      <c r="Z33" s="48">
        <f t="shared" si="30"/>
        <v>30</v>
      </c>
      <c r="AA33" s="54">
        <v>1</v>
      </c>
      <c r="AB33" s="24">
        <v>15</v>
      </c>
      <c r="AC33" s="48">
        <f t="shared" si="31"/>
        <v>15</v>
      </c>
      <c r="AD33" s="54"/>
      <c r="AE33" s="24">
        <v>30</v>
      </c>
      <c r="AF33" s="48">
        <f t="shared" si="32"/>
        <v>0</v>
      </c>
      <c r="AG33" s="276">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6">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487"/>
      <c r="V34" s="154">
        <f t="shared" si="5"/>
        <v>1799.8</v>
      </c>
      <c r="W34" s="154">
        <f>AQ34*C34</f>
        <v>541.6</v>
      </c>
      <c r="X34" s="276">
        <v>2</v>
      </c>
      <c r="Y34" s="24">
        <v>30</v>
      </c>
      <c r="Z34" s="48">
        <f t="shared" si="30"/>
        <v>60</v>
      </c>
      <c r="AA34" s="54">
        <v>2</v>
      </c>
      <c r="AB34" s="24">
        <v>15</v>
      </c>
      <c r="AC34" s="48">
        <f t="shared" si="31"/>
        <v>30</v>
      </c>
      <c r="AD34" s="54"/>
      <c r="AE34" s="24">
        <v>30</v>
      </c>
      <c r="AF34" s="48">
        <f t="shared" si="32"/>
        <v>0</v>
      </c>
      <c r="AG34" s="276">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6">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487"/>
      <c r="V35" s="154">
        <f t="shared" si="5"/>
        <v>827.1</v>
      </c>
      <c r="W35" s="154">
        <f t="shared" si="20"/>
        <v>249.8</v>
      </c>
      <c r="X35" s="276">
        <v>1</v>
      </c>
      <c r="Y35" s="24">
        <v>30</v>
      </c>
      <c r="Z35" s="48">
        <f t="shared" si="30"/>
        <v>30</v>
      </c>
      <c r="AA35" s="54"/>
      <c r="AB35" s="24">
        <v>15</v>
      </c>
      <c r="AC35" s="48">
        <f t="shared" si="31"/>
        <v>0</v>
      </c>
      <c r="AD35" s="54"/>
      <c r="AE35" s="24">
        <v>30</v>
      </c>
      <c r="AF35" s="48">
        <f t="shared" si="32"/>
        <v>0</v>
      </c>
      <c r="AG35" s="276">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6">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487"/>
      <c r="V36" s="154">
        <f t="shared" si="5"/>
        <v>525.29999999999995</v>
      </c>
      <c r="W36" s="154">
        <f t="shared" si="20"/>
        <v>158.6</v>
      </c>
      <c r="X36" s="276"/>
      <c r="Y36" s="24">
        <v>30</v>
      </c>
      <c r="Z36" s="48">
        <f t="shared" si="30"/>
        <v>0</v>
      </c>
      <c r="AA36" s="54"/>
      <c r="AB36" s="24">
        <v>15</v>
      </c>
      <c r="AC36" s="48">
        <f t="shared" si="31"/>
        <v>0</v>
      </c>
      <c r="AD36" s="54"/>
      <c r="AE36" s="24">
        <v>30</v>
      </c>
      <c r="AF36" s="48">
        <f t="shared" si="32"/>
        <v>0</v>
      </c>
      <c r="AG36" s="276">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6">
        <v>30</v>
      </c>
      <c r="B37" s="218" t="s">
        <v>130</v>
      </c>
      <c r="C37" s="57">
        <v>1</v>
      </c>
      <c r="D37" s="177">
        <v>8.4730000000000008</v>
      </c>
      <c r="E37" s="171">
        <f>C37*D37</f>
        <v>8.4700000000000006</v>
      </c>
      <c r="F37" s="154">
        <f>E37*12</f>
        <v>101.6</v>
      </c>
      <c r="G37" s="154"/>
      <c r="H37" s="154"/>
      <c r="I37" s="154"/>
      <c r="J37" s="154"/>
      <c r="K37" s="154"/>
      <c r="L37" s="154">
        <f t="shared" si="4"/>
        <v>34.4</v>
      </c>
      <c r="M37" s="154">
        <f>F37+G37+H37+I37+J37+K37+L37</f>
        <v>136</v>
      </c>
      <c r="N37" s="171">
        <v>0.47</v>
      </c>
      <c r="O37" s="154">
        <f>M37*N37</f>
        <v>63.9</v>
      </c>
      <c r="P37" s="154">
        <f>M37+O37</f>
        <v>199.9</v>
      </c>
      <c r="Q37" s="154">
        <f>P37*0.8</f>
        <v>159.9</v>
      </c>
      <c r="R37" s="154">
        <f>P37*0.8</f>
        <v>159.9</v>
      </c>
      <c r="S37" s="154">
        <f>(P37+Q37+R37)*0.032</f>
        <v>16.600000000000001</v>
      </c>
      <c r="T37" s="154">
        <f>P37+Q37+R37+S37</f>
        <v>536.29999999999995</v>
      </c>
      <c r="U37" s="487"/>
      <c r="V37" s="154">
        <f t="shared" si="5"/>
        <v>536.29999999999995</v>
      </c>
      <c r="W37" s="154">
        <f t="shared" si="20"/>
        <v>162</v>
      </c>
      <c r="X37" s="276"/>
      <c r="Y37" s="24">
        <v>30</v>
      </c>
      <c r="Z37" s="48">
        <f>X37*Y37</f>
        <v>0</v>
      </c>
      <c r="AA37" s="54"/>
      <c r="AB37" s="24">
        <v>15</v>
      </c>
      <c r="AC37" s="48">
        <f>AA37*AB37</f>
        <v>0</v>
      </c>
      <c r="AD37" s="54"/>
      <c r="AE37" s="24">
        <v>30</v>
      </c>
      <c r="AF37" s="48">
        <f>AD37*AE37</f>
        <v>0</v>
      </c>
      <c r="AG37" s="276">
        <f t="shared" si="0"/>
        <v>0</v>
      </c>
      <c r="AH37" s="48">
        <f>Z37+AC37+AF37+AG37</f>
        <v>0</v>
      </c>
      <c r="AI37" s="34">
        <f>V37/11/C37*1000</f>
        <v>48754.5</v>
      </c>
      <c r="AJ37" s="34"/>
      <c r="AK37" s="216">
        <f t="shared" si="3"/>
        <v>536.29999999999995</v>
      </c>
      <c r="AL37" s="216">
        <f>((979*0.302)+((AK37-979)*0.182))</f>
        <v>215.1</v>
      </c>
      <c r="AM37" s="217">
        <v>0.30199999999999999</v>
      </c>
      <c r="AN37" s="62"/>
      <c r="AO37" s="62"/>
      <c r="AP37" s="62"/>
      <c r="AQ37" s="50">
        <f t="shared" si="7"/>
        <v>0</v>
      </c>
      <c r="AS37" s="66"/>
    </row>
    <row r="38" spans="1:45" ht="26.4" x14ac:dyDescent="0.25">
      <c r="A38" s="276">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487"/>
      <c r="V38" s="154">
        <f t="shared" si="5"/>
        <v>350.8</v>
      </c>
      <c r="W38" s="154">
        <f t="shared" si="20"/>
        <v>105.9</v>
      </c>
      <c r="X38" s="276">
        <v>1</v>
      </c>
      <c r="Y38" s="24">
        <v>30</v>
      </c>
      <c r="Z38" s="48">
        <f t="shared" si="30"/>
        <v>30</v>
      </c>
      <c r="AA38" s="276">
        <v>1</v>
      </c>
      <c r="AB38" s="24">
        <v>15</v>
      </c>
      <c r="AC38" s="48">
        <f t="shared" si="31"/>
        <v>15</v>
      </c>
      <c r="AD38" s="276"/>
      <c r="AE38" s="24">
        <v>30</v>
      </c>
      <c r="AF38" s="48">
        <f t="shared" si="32"/>
        <v>0</v>
      </c>
      <c r="AG38" s="276">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6">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487"/>
      <c r="V39" s="154">
        <f t="shared" si="5"/>
        <v>600.4</v>
      </c>
      <c r="W39" s="154">
        <f t="shared" si="20"/>
        <v>181.3</v>
      </c>
      <c r="X39" s="276"/>
      <c r="Y39" s="24">
        <v>30</v>
      </c>
      <c r="Z39" s="48">
        <f>X39*Y39</f>
        <v>0</v>
      </c>
      <c r="AA39" s="276"/>
      <c r="AB39" s="24">
        <v>15</v>
      </c>
      <c r="AC39" s="48">
        <f>AA39*AB39</f>
        <v>0</v>
      </c>
      <c r="AD39" s="276"/>
      <c r="AE39" s="24">
        <v>30</v>
      </c>
      <c r="AF39" s="48">
        <f t="shared" si="32"/>
        <v>0</v>
      </c>
      <c r="AG39" s="276">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6">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487"/>
      <c r="V40" s="154">
        <f t="shared" si="5"/>
        <v>368.6</v>
      </c>
      <c r="W40" s="154">
        <f t="shared" si="20"/>
        <v>111.3</v>
      </c>
      <c r="X40" s="276">
        <v>1</v>
      </c>
      <c r="Y40" s="24">
        <v>30</v>
      </c>
      <c r="Z40" s="48">
        <f>X40*Y40</f>
        <v>30</v>
      </c>
      <c r="AA40" s="276"/>
      <c r="AB40" s="24">
        <v>15</v>
      </c>
      <c r="AC40" s="48">
        <f>AA40*AB40</f>
        <v>0</v>
      </c>
      <c r="AD40" s="276"/>
      <c r="AE40" s="24">
        <v>30</v>
      </c>
      <c r="AF40" s="48">
        <f t="shared" si="32"/>
        <v>0</v>
      </c>
      <c r="AG40" s="276">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6">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487"/>
      <c r="V41" s="154">
        <f t="shared" si="5"/>
        <v>713</v>
      </c>
      <c r="W41" s="154">
        <f t="shared" si="20"/>
        <v>215.3</v>
      </c>
      <c r="X41" s="276">
        <v>1</v>
      </c>
      <c r="Y41" s="24">
        <v>30</v>
      </c>
      <c r="Z41" s="48">
        <f>X41*Y41</f>
        <v>30</v>
      </c>
      <c r="AA41" s="276"/>
      <c r="AB41" s="24">
        <v>15</v>
      </c>
      <c r="AC41" s="48">
        <f>AA41*AB41</f>
        <v>0</v>
      </c>
      <c r="AD41" s="276"/>
      <c r="AE41" s="24">
        <v>30</v>
      </c>
      <c r="AF41" s="48">
        <f t="shared" si="32"/>
        <v>0</v>
      </c>
      <c r="AG41" s="276">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487"/>
      <c r="V42" s="154"/>
      <c r="W42" s="154">
        <f t="shared" si="20"/>
        <v>0</v>
      </c>
      <c r="X42" s="276"/>
      <c r="Y42" s="24"/>
      <c r="Z42" s="48"/>
      <c r="AA42" s="276"/>
      <c r="AB42" s="24"/>
      <c r="AC42" s="48"/>
      <c r="AD42" s="276"/>
      <c r="AE42" s="24"/>
      <c r="AF42" s="48"/>
      <c r="AG42" s="276">
        <f t="shared" si="0"/>
        <v>0</v>
      </c>
      <c r="AH42" s="48"/>
      <c r="AJ42" s="34"/>
      <c r="AK42" s="216"/>
      <c r="AL42" s="216"/>
      <c r="AM42" s="217"/>
      <c r="AN42" s="76"/>
      <c r="AO42" s="76"/>
      <c r="AP42" s="76"/>
      <c r="AQ42" s="50">
        <f t="shared" si="7"/>
        <v>0</v>
      </c>
      <c r="AS42" s="66"/>
    </row>
    <row r="43" spans="1:45" x14ac:dyDescent="0.25">
      <c r="A43" s="276">
        <v>35</v>
      </c>
      <c r="B43" s="52" t="s">
        <v>17</v>
      </c>
      <c r="C43" s="276">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487"/>
      <c r="V43" s="154">
        <f t="shared" si="5"/>
        <v>1020.3</v>
      </c>
      <c r="W43" s="154">
        <f>AQ43</f>
        <v>303.7</v>
      </c>
      <c r="X43" s="276">
        <v>1</v>
      </c>
      <c r="Y43" s="24">
        <v>35</v>
      </c>
      <c r="Z43" s="48">
        <f>X43*Y43</f>
        <v>35</v>
      </c>
      <c r="AA43" s="276"/>
      <c r="AB43" s="24">
        <v>17.5</v>
      </c>
      <c r="AC43" s="48">
        <f>AA43*AB43</f>
        <v>0</v>
      </c>
      <c r="AD43" s="276"/>
      <c r="AE43" s="24">
        <v>35</v>
      </c>
      <c r="AF43" s="48">
        <f>AD43*AE43</f>
        <v>0</v>
      </c>
      <c r="AG43" s="276">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6">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487"/>
      <c r="V44" s="154">
        <f t="shared" si="5"/>
        <v>695.7</v>
      </c>
      <c r="W44" s="154">
        <f t="shared" si="20"/>
        <v>210.1</v>
      </c>
      <c r="X44" s="276">
        <v>1</v>
      </c>
      <c r="Y44" s="24">
        <v>35</v>
      </c>
      <c r="Z44" s="48">
        <f t="shared" ref="Z44:Z51" si="45">X44*Y44</f>
        <v>35</v>
      </c>
      <c r="AA44" s="54"/>
      <c r="AB44" s="24">
        <v>17.5</v>
      </c>
      <c r="AC44" s="48">
        <f t="shared" ref="AC44:AC51" si="46">AA44*AB44</f>
        <v>0</v>
      </c>
      <c r="AD44" s="54"/>
      <c r="AE44" s="24">
        <v>35</v>
      </c>
      <c r="AF44" s="48">
        <f t="shared" ref="AF44:AF51" si="47">AD44*AE44</f>
        <v>0</v>
      </c>
      <c r="AG44" s="276">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6">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487"/>
      <c r="V45" s="154">
        <f t="shared" si="5"/>
        <v>514.6</v>
      </c>
      <c r="W45" s="154">
        <f t="shared" si="20"/>
        <v>155.4</v>
      </c>
      <c r="X45" s="276">
        <v>1</v>
      </c>
      <c r="Y45" s="24">
        <v>35</v>
      </c>
      <c r="Z45" s="48">
        <f t="shared" si="45"/>
        <v>35</v>
      </c>
      <c r="AA45" s="54"/>
      <c r="AB45" s="24">
        <v>17.5</v>
      </c>
      <c r="AC45" s="48">
        <f t="shared" si="46"/>
        <v>0</v>
      </c>
      <c r="AD45" s="54">
        <v>1</v>
      </c>
      <c r="AE45" s="24">
        <v>35</v>
      </c>
      <c r="AF45" s="48">
        <f t="shared" si="47"/>
        <v>35</v>
      </c>
      <c r="AG45" s="276">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6">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487"/>
      <c r="V46" s="154">
        <f t="shared" si="5"/>
        <v>200.6</v>
      </c>
      <c r="W46" s="154">
        <f t="shared" si="20"/>
        <v>60.6</v>
      </c>
      <c r="X46" s="276"/>
      <c r="Y46" s="24">
        <v>35</v>
      </c>
      <c r="Z46" s="48">
        <f t="shared" si="45"/>
        <v>0</v>
      </c>
      <c r="AA46" s="54"/>
      <c r="AB46" s="24">
        <v>17.5</v>
      </c>
      <c r="AC46" s="48">
        <f t="shared" si="46"/>
        <v>0</v>
      </c>
      <c r="AD46" s="54"/>
      <c r="AE46" s="24">
        <v>35</v>
      </c>
      <c r="AF46" s="48">
        <f t="shared" si="47"/>
        <v>0</v>
      </c>
      <c r="AG46" s="276">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6">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487"/>
      <c r="V47" s="154">
        <f t="shared" si="5"/>
        <v>706.7</v>
      </c>
      <c r="W47" s="154">
        <f t="shared" si="20"/>
        <v>213.4</v>
      </c>
      <c r="X47" s="276"/>
      <c r="Y47" s="24">
        <v>35</v>
      </c>
      <c r="Z47" s="48">
        <f t="shared" si="45"/>
        <v>0</v>
      </c>
      <c r="AA47" s="54"/>
      <c r="AB47" s="24">
        <v>17.5</v>
      </c>
      <c r="AC47" s="48">
        <f t="shared" si="46"/>
        <v>0</v>
      </c>
      <c r="AD47" s="54"/>
      <c r="AE47" s="24">
        <v>35</v>
      </c>
      <c r="AF47" s="48">
        <f t="shared" si="47"/>
        <v>0</v>
      </c>
      <c r="AG47" s="276">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6">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487"/>
      <c r="V48" s="154">
        <f t="shared" si="5"/>
        <v>571.20000000000005</v>
      </c>
      <c r="W48" s="154">
        <f t="shared" si="20"/>
        <v>172.5</v>
      </c>
      <c r="X48" s="276">
        <v>1</v>
      </c>
      <c r="Y48" s="24">
        <v>35</v>
      </c>
      <c r="Z48" s="48">
        <f t="shared" si="45"/>
        <v>35</v>
      </c>
      <c r="AA48" s="54"/>
      <c r="AB48" s="24">
        <v>17.5</v>
      </c>
      <c r="AC48" s="48">
        <f>AA48*AB48</f>
        <v>0</v>
      </c>
      <c r="AD48" s="54"/>
      <c r="AE48" s="24">
        <v>35</v>
      </c>
      <c r="AF48" s="48">
        <f t="shared" si="47"/>
        <v>0</v>
      </c>
      <c r="AG48" s="276">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6">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487"/>
      <c r="V49" s="154">
        <f t="shared" si="5"/>
        <v>353.2</v>
      </c>
      <c r="W49" s="154">
        <f t="shared" si="20"/>
        <v>106.7</v>
      </c>
      <c r="X49" s="276"/>
      <c r="Y49" s="24">
        <v>35</v>
      </c>
      <c r="Z49" s="48">
        <f t="shared" si="45"/>
        <v>0</v>
      </c>
      <c r="AA49" s="54"/>
      <c r="AB49" s="24">
        <v>17.5</v>
      </c>
      <c r="AC49" s="48">
        <f t="shared" si="46"/>
        <v>0</v>
      </c>
      <c r="AD49" s="54"/>
      <c r="AE49" s="24">
        <v>35</v>
      </c>
      <c r="AF49" s="48">
        <f t="shared" si="47"/>
        <v>0</v>
      </c>
      <c r="AG49" s="276">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6">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487"/>
      <c r="V50" s="154">
        <f t="shared" si="5"/>
        <v>128.5</v>
      </c>
      <c r="W50" s="154">
        <f t="shared" si="20"/>
        <v>38.799999999999997</v>
      </c>
      <c r="X50" s="276"/>
      <c r="Y50" s="24">
        <v>35</v>
      </c>
      <c r="Z50" s="48">
        <f t="shared" si="45"/>
        <v>0</v>
      </c>
      <c r="AA50" s="54"/>
      <c r="AB50" s="24">
        <v>17.5</v>
      </c>
      <c r="AC50" s="48">
        <f t="shared" si="46"/>
        <v>0</v>
      </c>
      <c r="AD50" s="54"/>
      <c r="AE50" s="24">
        <v>35</v>
      </c>
      <c r="AF50" s="48">
        <f t="shared" si="47"/>
        <v>0</v>
      </c>
      <c r="AG50" s="276">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6">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487"/>
      <c r="V51" s="154">
        <f>T51*$U$9-0.3</f>
        <v>520.6</v>
      </c>
      <c r="W51" s="154">
        <f t="shared" si="20"/>
        <v>157.19999999999999</v>
      </c>
      <c r="X51" s="276"/>
      <c r="Y51" s="24">
        <v>35</v>
      </c>
      <c r="Z51" s="48">
        <f t="shared" si="45"/>
        <v>0</v>
      </c>
      <c r="AA51" s="54"/>
      <c r="AB51" s="24">
        <v>17.5</v>
      </c>
      <c r="AC51" s="48">
        <f t="shared" si="46"/>
        <v>0</v>
      </c>
      <c r="AD51" s="54"/>
      <c r="AE51" s="24">
        <v>35</v>
      </c>
      <c r="AF51" s="48">
        <f t="shared" si="47"/>
        <v>0</v>
      </c>
      <c r="AG51" s="276">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481" t="s">
        <v>72</v>
      </c>
      <c r="B52" s="481"/>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481" t="s">
        <v>140</v>
      </c>
      <c r="H55" s="481"/>
      <c r="I55" s="481" t="s">
        <v>144</v>
      </c>
      <c r="J55" s="481"/>
      <c r="K55" s="484" t="s">
        <v>145</v>
      </c>
      <c r="L55" s="485"/>
      <c r="M55" s="481" t="s">
        <v>128</v>
      </c>
      <c r="N55" s="481"/>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8">
        <v>991</v>
      </c>
      <c r="H56" s="28">
        <v>992</v>
      </c>
      <c r="I56" s="28">
        <v>991</v>
      </c>
      <c r="J56" s="28">
        <v>992</v>
      </c>
      <c r="K56" s="28">
        <v>991</v>
      </c>
      <c r="L56" s="28">
        <v>992</v>
      </c>
      <c r="M56" s="28">
        <v>991</v>
      </c>
      <c r="N56" s="28">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35"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3"/>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3"/>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3"/>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3"/>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3"/>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E1:AH1"/>
    <mergeCell ref="A2:AH2"/>
    <mergeCell ref="A3:AH3"/>
    <mergeCell ref="A5:A7"/>
    <mergeCell ref="B5:B7"/>
    <mergeCell ref="C5:C7"/>
    <mergeCell ref="D5:W5"/>
    <mergeCell ref="D6:D7"/>
    <mergeCell ref="E6:E7"/>
    <mergeCell ref="N6:O6"/>
    <mergeCell ref="X5:AH5"/>
    <mergeCell ref="A52:B52"/>
    <mergeCell ref="U9:U51"/>
    <mergeCell ref="AA6:AC6"/>
    <mergeCell ref="AD6:AF6"/>
    <mergeCell ref="AG6:AG7"/>
    <mergeCell ref="G6:G7"/>
    <mergeCell ref="H6:H7"/>
    <mergeCell ref="I6:I7"/>
    <mergeCell ref="J6:J7"/>
    <mergeCell ref="T6:T7"/>
    <mergeCell ref="P6:P7"/>
    <mergeCell ref="Q6:Q7"/>
    <mergeCell ref="R6:R7"/>
    <mergeCell ref="F6:F7"/>
    <mergeCell ref="S6:S7"/>
    <mergeCell ref="K6:K7"/>
    <mergeCell ref="G55:H55"/>
    <mergeCell ref="M55:N55"/>
    <mergeCell ref="L6:L7"/>
    <mergeCell ref="M6:M7"/>
    <mergeCell ref="AH6:AH7"/>
    <mergeCell ref="W6:W7"/>
    <mergeCell ref="X6:Z6"/>
    <mergeCell ref="U6:U7"/>
    <mergeCell ref="V6:V7"/>
    <mergeCell ref="I55:J55"/>
    <mergeCell ref="K55:L55"/>
  </mergeCells>
  <printOptions horizontalCentered="1"/>
  <pageMargins left="0" right="0" top="0" bottom="0" header="0.31496062992125984" footer="0.31496062992125984"/>
  <pageSetup paperSize="9" scale="36"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66"/>
  <sheetViews>
    <sheetView view="pageBreakPreview" zoomScale="80" zoomScaleNormal="70" zoomScaleSheetLayoutView="80" workbookViewId="0">
      <pane xSplit="3" ySplit="8" topLeftCell="M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499"/>
      <c r="AF1" s="499"/>
      <c r="AG1" s="499"/>
      <c r="AH1" s="499"/>
    </row>
    <row r="2" spans="1:45" ht="24" customHeight="1" x14ac:dyDescent="0.25">
      <c r="A2" s="500" t="s">
        <v>147</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235"/>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101"/>
    </row>
    <row r="4" spans="1:45" x14ac:dyDescent="0.25">
      <c r="L4" s="38">
        <v>0.15451000000000001</v>
      </c>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68</v>
      </c>
      <c r="E6" s="492" t="s">
        <v>69</v>
      </c>
      <c r="F6" s="492" t="s">
        <v>89</v>
      </c>
      <c r="G6" s="492" t="s">
        <v>1</v>
      </c>
      <c r="H6" s="492" t="s">
        <v>2</v>
      </c>
      <c r="I6" s="492" t="s">
        <v>70</v>
      </c>
      <c r="J6" s="492" t="s">
        <v>61</v>
      </c>
      <c r="K6" s="492" t="s">
        <v>27</v>
      </c>
      <c r="L6" s="495" t="s">
        <v>65</v>
      </c>
      <c r="M6" s="495" t="s">
        <v>86</v>
      </c>
      <c r="N6" s="496" t="s">
        <v>90</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104" t="s">
        <v>80</v>
      </c>
      <c r="O7" s="104" t="s">
        <v>81</v>
      </c>
      <c r="P7" s="496"/>
      <c r="Q7" s="495"/>
      <c r="R7" s="492"/>
      <c r="S7" s="495" t="s">
        <v>67</v>
      </c>
      <c r="T7" s="492"/>
      <c r="U7" s="492"/>
      <c r="V7" s="492"/>
      <c r="W7" s="492"/>
      <c r="X7" s="105" t="s">
        <v>5</v>
      </c>
      <c r="Y7" s="105" t="s">
        <v>6</v>
      </c>
      <c r="Z7" s="105" t="s">
        <v>74</v>
      </c>
      <c r="AA7" s="105" t="s">
        <v>5</v>
      </c>
      <c r="AB7" s="105" t="s">
        <v>6</v>
      </c>
      <c r="AC7" s="105" t="s">
        <v>75</v>
      </c>
      <c r="AD7" s="105" t="s">
        <v>5</v>
      </c>
      <c r="AE7" s="105" t="s">
        <v>6</v>
      </c>
      <c r="AF7" s="105" t="s">
        <v>76</v>
      </c>
      <c r="AG7" s="493"/>
      <c r="AH7" s="493"/>
      <c r="AK7" s="98" t="s">
        <v>64</v>
      </c>
      <c r="AL7" s="98" t="s">
        <v>62</v>
      </c>
      <c r="AM7" s="98" t="s">
        <v>63</v>
      </c>
    </row>
    <row r="8" spans="1:45" ht="15.75" customHeight="1" x14ac:dyDescent="0.25">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25</v>
      </c>
      <c r="Y8" s="103">
        <v>26</v>
      </c>
      <c r="Z8" s="103">
        <v>27</v>
      </c>
      <c r="AA8" s="103">
        <v>28</v>
      </c>
      <c r="AB8" s="103">
        <v>29</v>
      </c>
      <c r="AC8" s="103">
        <v>30</v>
      </c>
      <c r="AD8" s="103">
        <v>31</v>
      </c>
      <c r="AE8" s="103">
        <v>32</v>
      </c>
      <c r="AF8" s="103">
        <v>33</v>
      </c>
      <c r="AG8" s="103">
        <v>34</v>
      </c>
      <c r="AH8" s="103">
        <v>35</v>
      </c>
      <c r="AN8" s="212" t="s">
        <v>116</v>
      </c>
      <c r="AO8" s="212" t="s">
        <v>117</v>
      </c>
      <c r="AP8" s="212" t="s">
        <v>118</v>
      </c>
      <c r="AQ8" s="212" t="s">
        <v>119</v>
      </c>
    </row>
    <row r="9" spans="1:45" ht="16.5" customHeight="1" x14ac:dyDescent="0.25">
      <c r="A9" s="103">
        <v>1</v>
      </c>
      <c r="B9" s="236" t="s">
        <v>14</v>
      </c>
      <c r="C9" s="103">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689">
        <v>1</v>
      </c>
      <c r="V9" s="95">
        <f>T9*$U$9</f>
        <v>1707.1</v>
      </c>
      <c r="W9" s="95">
        <f>AQ9</f>
        <v>424.3</v>
      </c>
      <c r="X9" s="103">
        <v>1</v>
      </c>
      <c r="Y9" s="112">
        <v>30</v>
      </c>
      <c r="Z9" s="113">
        <f t="shared" ref="Z9:Z24" si="9">X9*Y9</f>
        <v>30</v>
      </c>
      <c r="AA9" s="103"/>
      <c r="AB9" s="112">
        <v>15</v>
      </c>
      <c r="AC9" s="113">
        <f t="shared" ref="AC9:AC24" si="10">AA9*AB9</f>
        <v>0</v>
      </c>
      <c r="AD9" s="103">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103">
        <v>2</v>
      </c>
      <c r="B10" s="236" t="s">
        <v>127</v>
      </c>
      <c r="C10" s="103">
        <v>1</v>
      </c>
      <c r="D10" s="237">
        <v>17.971</v>
      </c>
      <c r="E10" s="169">
        <f>C10*D10</f>
        <v>17.97</v>
      </c>
      <c r="F10" s="170">
        <f t="shared" si="1"/>
        <v>215.6</v>
      </c>
      <c r="G10" s="95"/>
      <c r="H10" s="95">
        <v>11.2</v>
      </c>
      <c r="I10" s="95"/>
      <c r="J10" s="95"/>
      <c r="K10" s="95">
        <f>F10*0.3+D10*0.05*6.5</f>
        <v>70.5</v>
      </c>
      <c r="L10" s="95">
        <f t="shared" ref="L10:L22"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690"/>
      <c r="V10" s="95">
        <f>T10*$U$9</f>
        <v>1304</v>
      </c>
      <c r="W10" s="95">
        <f>AQ10</f>
        <v>362.6</v>
      </c>
      <c r="X10" s="103">
        <v>1</v>
      </c>
      <c r="Y10" s="112">
        <v>30</v>
      </c>
      <c r="Z10" s="113">
        <f t="shared" si="9"/>
        <v>30</v>
      </c>
      <c r="AA10" s="103"/>
      <c r="AB10" s="112">
        <v>15</v>
      </c>
      <c r="AC10" s="113">
        <f t="shared" si="10"/>
        <v>0</v>
      </c>
      <c r="AD10" s="103"/>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SUM(AN10:AP10)*C10</f>
        <v>362.6</v>
      </c>
      <c r="AS10" s="99">
        <f t="shared" si="17"/>
        <v>26.956499999999998</v>
      </c>
    </row>
    <row r="11" spans="1:45" x14ac:dyDescent="0.25">
      <c r="A11" s="103">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690"/>
      <c r="V11" s="95">
        <f t="shared" ref="V11:V22"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103">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690"/>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103">
        <v>5</v>
      </c>
      <c r="B13" s="52" t="s">
        <v>48</v>
      </c>
      <c r="C13" s="40">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690"/>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103">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690"/>
      <c r="V14" s="95">
        <f>T14*$U$9</f>
        <v>620.1</v>
      </c>
      <c r="W14" s="95">
        <f t="shared" si="22"/>
        <v>187.3</v>
      </c>
      <c r="X14" s="103"/>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103">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690"/>
      <c r="V15" s="95">
        <f t="shared" si="20"/>
        <v>562.70000000000005</v>
      </c>
      <c r="W15" s="95">
        <f t="shared" si="22"/>
        <v>169.9</v>
      </c>
      <c r="X15" s="103"/>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103">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690"/>
      <c r="V16" s="95">
        <f t="shared" si="20"/>
        <v>742.2</v>
      </c>
      <c r="W16" s="95">
        <f t="shared" si="22"/>
        <v>224.1</v>
      </c>
      <c r="X16" s="103"/>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103">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690"/>
      <c r="V17" s="95">
        <f t="shared" si="20"/>
        <v>569.6</v>
      </c>
      <c r="W17" s="95">
        <f t="shared" si="22"/>
        <v>172</v>
      </c>
      <c r="X17" s="103">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103">
        <v>10</v>
      </c>
      <c r="B18" s="236" t="s">
        <v>148</v>
      </c>
      <c r="C18" s="127">
        <v>1</v>
      </c>
      <c r="D18" s="237">
        <v>8.4730000000000008</v>
      </c>
      <c r="E18" s="111">
        <f t="shared" si="0"/>
        <v>8.4700000000000006</v>
      </c>
      <c r="F18" s="95">
        <f t="shared" si="1"/>
        <v>101.6</v>
      </c>
      <c r="G18" s="95"/>
      <c r="H18" s="95"/>
      <c r="I18" s="95"/>
      <c r="J18" s="95"/>
      <c r="K18" s="95">
        <f>F18*0.25+D18*0.05*11</f>
        <v>30.1</v>
      </c>
      <c r="L18" s="95">
        <f>F18*$L$4</f>
        <v>15.7</v>
      </c>
      <c r="M18" s="95">
        <f>F18+G18+H18+I18+J18+K18+L18</f>
        <v>147.4</v>
      </c>
      <c r="N18" s="111">
        <v>0.41</v>
      </c>
      <c r="O18" s="95">
        <f>M18*N18</f>
        <v>60.4</v>
      </c>
      <c r="P18" s="95">
        <f>M18+O18</f>
        <v>207.8</v>
      </c>
      <c r="Q18" s="95">
        <f>P18*0.8</f>
        <v>166.2</v>
      </c>
      <c r="R18" s="95">
        <f>P18*0.8</f>
        <v>166.2</v>
      </c>
      <c r="S18" s="95">
        <f>(P18+Q18+R18)*0.032</f>
        <v>17.3</v>
      </c>
      <c r="T18" s="95">
        <f>P18+Q18+R18+S18</f>
        <v>557.5</v>
      </c>
      <c r="U18" s="690"/>
      <c r="V18" s="95">
        <f>T18*$U$9</f>
        <v>557.5</v>
      </c>
      <c r="W18" s="95">
        <f t="shared" si="22"/>
        <v>168.4</v>
      </c>
      <c r="X18" s="103">
        <v>1</v>
      </c>
      <c r="Y18" s="112">
        <v>30</v>
      </c>
      <c r="Z18" s="113">
        <f>X18*Y18</f>
        <v>30</v>
      </c>
      <c r="AA18" s="127"/>
      <c r="AB18" s="112">
        <v>15</v>
      </c>
      <c r="AC18" s="113">
        <f>AA18*AB18</f>
        <v>0</v>
      </c>
      <c r="AD18" s="127"/>
      <c r="AE18" s="112">
        <v>30</v>
      </c>
      <c r="AF18" s="113">
        <f>AD18*AE18</f>
        <v>0</v>
      </c>
      <c r="AG18" s="113">
        <f>(Z18+AC18+AF18)*1%*30</f>
        <v>9</v>
      </c>
      <c r="AH18" s="113">
        <f>Z18+AC18+AF18+AG18</f>
        <v>39</v>
      </c>
      <c r="AI18" s="114"/>
      <c r="AK18" s="114">
        <f t="shared" si="15"/>
        <v>557.5</v>
      </c>
      <c r="AL18" s="114"/>
      <c r="AM18" s="115"/>
      <c r="AN18" s="50">
        <f t="shared" si="21"/>
        <v>122.7</v>
      </c>
      <c r="AO18" s="242"/>
      <c r="AP18" s="50">
        <f t="shared" si="23"/>
        <v>29.5</v>
      </c>
      <c r="AQ18" s="50">
        <f t="shared" si="16"/>
        <v>152.19999999999999</v>
      </c>
    </row>
    <row r="19" spans="1:45" ht="26.4" x14ac:dyDescent="0.25">
      <c r="A19" s="103">
        <v>11</v>
      </c>
      <c r="B19" s="236" t="s">
        <v>130</v>
      </c>
      <c r="C19" s="127">
        <v>1</v>
      </c>
      <c r="D19" s="237">
        <v>8.4730000000000008</v>
      </c>
      <c r="E19" s="111">
        <f t="shared" si="0"/>
        <v>8.4700000000000006</v>
      </c>
      <c r="F19" s="95">
        <f t="shared" si="1"/>
        <v>101.6</v>
      </c>
      <c r="G19" s="95"/>
      <c r="H19" s="95"/>
      <c r="I19" s="95"/>
      <c r="J19" s="95"/>
      <c r="K19" s="95"/>
      <c r="L19" s="95">
        <f>F19*$L$4</f>
        <v>15.7</v>
      </c>
      <c r="M19" s="95">
        <f>F19+G19+H19+I19+J19+K19+L19</f>
        <v>117.3</v>
      </c>
      <c r="N19" s="111">
        <v>0.47</v>
      </c>
      <c r="O19" s="95">
        <f>M19*N19</f>
        <v>55.1</v>
      </c>
      <c r="P19" s="95">
        <f>M19+O19</f>
        <v>172.4</v>
      </c>
      <c r="Q19" s="95">
        <f>P19*0.8</f>
        <v>137.9</v>
      </c>
      <c r="R19" s="95">
        <f>P19*0.8</f>
        <v>137.9</v>
      </c>
      <c r="S19" s="95">
        <f>(P19+Q19+R19)*0.032</f>
        <v>14.3</v>
      </c>
      <c r="T19" s="95">
        <f>P19+Q19+R19+S19</f>
        <v>462.5</v>
      </c>
      <c r="U19" s="690"/>
      <c r="V19" s="95">
        <f>T19*$U$9</f>
        <v>462.5</v>
      </c>
      <c r="W19" s="95">
        <f t="shared" si="22"/>
        <v>139.69999999999999</v>
      </c>
      <c r="X19" s="103"/>
      <c r="Y19" s="112">
        <v>30</v>
      </c>
      <c r="Z19" s="113">
        <f>X19*Y19</f>
        <v>0</v>
      </c>
      <c r="AA19" s="127"/>
      <c r="AB19" s="112">
        <v>15</v>
      </c>
      <c r="AC19" s="113">
        <f>AA19*AB19</f>
        <v>0</v>
      </c>
      <c r="AD19" s="127"/>
      <c r="AE19" s="112">
        <v>30</v>
      </c>
      <c r="AF19" s="113">
        <f>AD19*AE19</f>
        <v>0</v>
      </c>
      <c r="AG19" s="113">
        <f>(Z19+AC19+AF19)*1%*30</f>
        <v>0</v>
      </c>
      <c r="AH19" s="113">
        <f>Z19+AC19+AF19+AG19</f>
        <v>0</v>
      </c>
      <c r="AI19" s="114"/>
      <c r="AK19" s="114">
        <f t="shared" si="15"/>
        <v>462.5</v>
      </c>
      <c r="AL19" s="114"/>
      <c r="AM19" s="115"/>
      <c r="AN19" s="50">
        <f t="shared" si="21"/>
        <v>101.8</v>
      </c>
      <c r="AO19" s="242"/>
      <c r="AP19" s="50">
        <f t="shared" si="23"/>
        <v>24.5</v>
      </c>
      <c r="AQ19" s="50">
        <f t="shared" si="16"/>
        <v>126.3</v>
      </c>
    </row>
    <row r="20" spans="1:45" x14ac:dyDescent="0.25">
      <c r="A20" s="103">
        <v>12</v>
      </c>
      <c r="B20" s="236" t="s">
        <v>149</v>
      </c>
      <c r="C20" s="127">
        <v>1</v>
      </c>
      <c r="D20" s="237">
        <v>11.061999999999999</v>
      </c>
      <c r="E20" s="111">
        <f t="shared" si="0"/>
        <v>11.06</v>
      </c>
      <c r="F20" s="95">
        <f t="shared" si="1"/>
        <v>132.69999999999999</v>
      </c>
      <c r="G20" s="95"/>
      <c r="H20" s="95"/>
      <c r="I20" s="95"/>
      <c r="J20" s="95"/>
      <c r="K20" s="95"/>
      <c r="L20" s="95">
        <f>F20*$L$4</f>
        <v>20.5</v>
      </c>
      <c r="M20" s="95">
        <f>F20+G20+H20+I20+J20+K20+L20</f>
        <v>153.19999999999999</v>
      </c>
      <c r="N20" s="111">
        <v>0.43</v>
      </c>
      <c r="O20" s="95">
        <f>M20*N20</f>
        <v>65.900000000000006</v>
      </c>
      <c r="P20" s="95">
        <f>M20+O20</f>
        <v>219.1</v>
      </c>
      <c r="Q20" s="95">
        <f>P20*0.8</f>
        <v>175.3</v>
      </c>
      <c r="R20" s="95">
        <f>P20*0.8</f>
        <v>175.3</v>
      </c>
      <c r="S20" s="95">
        <f>(P20+Q20+R20)*0.032</f>
        <v>18.2</v>
      </c>
      <c r="T20" s="95">
        <f>P20+Q20+R20+S20</f>
        <v>587.9</v>
      </c>
      <c r="U20" s="690"/>
      <c r="V20" s="95">
        <f>T20*$U$9</f>
        <v>587.9</v>
      </c>
      <c r="W20" s="95">
        <f t="shared" si="22"/>
        <v>177.5</v>
      </c>
      <c r="X20" s="103"/>
      <c r="Y20" s="112">
        <v>30</v>
      </c>
      <c r="Z20" s="113">
        <f>X20*Y20</f>
        <v>0</v>
      </c>
      <c r="AA20" s="127"/>
      <c r="AB20" s="112">
        <v>15</v>
      </c>
      <c r="AC20" s="113">
        <f>AA20*AB20</f>
        <v>0</v>
      </c>
      <c r="AD20" s="127"/>
      <c r="AE20" s="112">
        <v>30</v>
      </c>
      <c r="AF20" s="113">
        <f>AD20*AE20</f>
        <v>0</v>
      </c>
      <c r="AG20" s="113">
        <f>(Z20+AC20+AF20)*1%*30</f>
        <v>0</v>
      </c>
      <c r="AH20" s="113">
        <f>Z20+AC20+AF20+AG20</f>
        <v>0</v>
      </c>
      <c r="AI20" s="114"/>
      <c r="AK20" s="114">
        <f t="shared" si="15"/>
        <v>587.9</v>
      </c>
      <c r="AL20" s="114"/>
      <c r="AM20" s="115"/>
      <c r="AN20" s="50">
        <f t="shared" si="21"/>
        <v>129.30000000000001</v>
      </c>
      <c r="AO20" s="242"/>
      <c r="AP20" s="50">
        <f t="shared" si="23"/>
        <v>31.2</v>
      </c>
      <c r="AQ20" s="50">
        <f t="shared" si="16"/>
        <v>160.5</v>
      </c>
    </row>
    <row r="21" spans="1:45" x14ac:dyDescent="0.25">
      <c r="A21" s="103">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690"/>
      <c r="V21" s="95">
        <f t="shared" si="20"/>
        <v>774.7</v>
      </c>
      <c r="W21" s="95">
        <f t="shared" si="22"/>
        <v>234</v>
      </c>
      <c r="X21" s="103"/>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103">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690"/>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103">
        <v>15</v>
      </c>
      <c r="B23" s="236" t="s">
        <v>58</v>
      </c>
      <c r="C23" s="246">
        <v>1</v>
      </c>
      <c r="D23" s="247">
        <v>11.061999999999999</v>
      </c>
      <c r="E23" s="111">
        <f t="shared" si="0"/>
        <v>11.06</v>
      </c>
      <c r="F23" s="95">
        <f t="shared" si="1"/>
        <v>132.69999999999999</v>
      </c>
      <c r="G23" s="248"/>
      <c r="H23" s="248"/>
      <c r="I23" s="248"/>
      <c r="J23" s="248"/>
      <c r="K23" s="248"/>
      <c r="L23" s="95">
        <f>F23*$L$4</f>
        <v>20.5</v>
      </c>
      <c r="M23" s="95">
        <f>F23+G23+H23+I23+J23+K23+L23</f>
        <v>153.19999999999999</v>
      </c>
      <c r="N23" s="111">
        <v>0.43</v>
      </c>
      <c r="O23" s="95">
        <f>M23*N23</f>
        <v>65.900000000000006</v>
      </c>
      <c r="P23" s="95">
        <f>M23+O23</f>
        <v>219.1</v>
      </c>
      <c r="Q23" s="95">
        <f>P23*0.8</f>
        <v>175.3</v>
      </c>
      <c r="R23" s="95">
        <f>P23*0.8</f>
        <v>175.3</v>
      </c>
      <c r="S23" s="95">
        <f>(P23+Q23+R23)*0.032</f>
        <v>18.2</v>
      </c>
      <c r="T23" s="95">
        <f>P23+Q23+R23+S23</f>
        <v>587.9</v>
      </c>
      <c r="U23" s="690"/>
      <c r="V23" s="95">
        <f>T23*$U$9</f>
        <v>587.9</v>
      </c>
      <c r="W23" s="95">
        <f t="shared" si="22"/>
        <v>177.5</v>
      </c>
      <c r="X23" s="246"/>
      <c r="Y23" s="240">
        <v>30</v>
      </c>
      <c r="Z23" s="241">
        <f>X23*Y23</f>
        <v>0</v>
      </c>
      <c r="AA23" s="246"/>
      <c r="AB23" s="240">
        <v>15</v>
      </c>
      <c r="AC23" s="241">
        <f>AA23*AB23</f>
        <v>0</v>
      </c>
      <c r="AD23" s="246"/>
      <c r="AE23" s="240">
        <v>30</v>
      </c>
      <c r="AF23" s="241">
        <f>AD23*AE23</f>
        <v>0</v>
      </c>
      <c r="AG23" s="241">
        <f>(Z23+AC23+AF23)*1%*30</f>
        <v>0</v>
      </c>
      <c r="AH23" s="241">
        <f>Z23+AC23+AF23+AG23</f>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103">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691"/>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692" t="s">
        <v>8</v>
      </c>
      <c r="B25" s="692"/>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481" t="s">
        <v>140</v>
      </c>
      <c r="H29" s="481"/>
      <c r="I29" s="481" t="s">
        <v>145</v>
      </c>
      <c r="J29" s="481"/>
      <c r="K29" s="481" t="s">
        <v>128</v>
      </c>
      <c r="L29" s="481"/>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78">
        <v>991</v>
      </c>
      <c r="H30" s="78">
        <v>992</v>
      </c>
      <c r="I30" s="78">
        <v>991</v>
      </c>
      <c r="J30" s="78">
        <v>992</v>
      </c>
      <c r="K30" s="78">
        <v>991</v>
      </c>
      <c r="L30" s="78">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35"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X5:AH5"/>
    <mergeCell ref="R6:R7"/>
    <mergeCell ref="AE1:AH1"/>
    <mergeCell ref="A2:AH2"/>
    <mergeCell ref="A3:AH3"/>
    <mergeCell ref="A5:A7"/>
    <mergeCell ref="B5:B7"/>
    <mergeCell ref="C5:C7"/>
    <mergeCell ref="D5:W5"/>
    <mergeCell ref="D6:D7"/>
    <mergeCell ref="E6:E7"/>
    <mergeCell ref="F6:F7"/>
    <mergeCell ref="A25:B25"/>
    <mergeCell ref="S6:S7"/>
    <mergeCell ref="T6:T7"/>
    <mergeCell ref="U6:U7"/>
    <mergeCell ref="V6:V7"/>
    <mergeCell ref="L6:L7"/>
    <mergeCell ref="M6:M7"/>
    <mergeCell ref="N6:O6"/>
    <mergeCell ref="P6:P7"/>
    <mergeCell ref="Q6:Q7"/>
    <mergeCell ref="G6:G7"/>
    <mergeCell ref="H6:H7"/>
    <mergeCell ref="I6:I7"/>
    <mergeCell ref="J6:J7"/>
    <mergeCell ref="G29:H29"/>
    <mergeCell ref="AA6:AC6"/>
    <mergeCell ref="AD6:AF6"/>
    <mergeCell ref="K6:K7"/>
    <mergeCell ref="AH6:AH7"/>
    <mergeCell ref="U9:U24"/>
    <mergeCell ref="W6:W7"/>
    <mergeCell ref="X6:Z6"/>
    <mergeCell ref="I29:J29"/>
    <mergeCell ref="K29:L29"/>
    <mergeCell ref="AG6:AG7"/>
  </mergeCells>
  <printOptions horizontalCentered="1"/>
  <pageMargins left="0" right="0" top="0" bottom="0" header="0.31496062992125984" footer="0.31496062992125984"/>
  <pageSetup paperSize="9" scale="39"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68"/>
  <sheetViews>
    <sheetView view="pageBreakPreview" zoomScale="80" zoomScaleNormal="70" zoomScaleSheetLayoutView="80" workbookViewId="0">
      <pane xSplit="3" ySplit="8" topLeftCell="N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499"/>
      <c r="AF1" s="499"/>
      <c r="AG1" s="499"/>
      <c r="AH1" s="499"/>
    </row>
    <row r="2" spans="1:45" ht="24" customHeight="1" x14ac:dyDescent="0.25">
      <c r="A2" s="500" t="s">
        <v>150</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235"/>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101"/>
    </row>
    <row r="4" spans="1:45" x14ac:dyDescent="0.25">
      <c r="L4" s="38">
        <v>0.27208500000000002</v>
      </c>
      <c r="M4" s="38"/>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68</v>
      </c>
      <c r="E6" s="492" t="s">
        <v>69</v>
      </c>
      <c r="F6" s="492" t="s">
        <v>89</v>
      </c>
      <c r="G6" s="492" t="s">
        <v>1</v>
      </c>
      <c r="H6" s="492" t="s">
        <v>2</v>
      </c>
      <c r="I6" s="492" t="s">
        <v>70</v>
      </c>
      <c r="J6" s="492" t="s">
        <v>61</v>
      </c>
      <c r="K6" s="492" t="s">
        <v>27</v>
      </c>
      <c r="L6" s="495" t="s">
        <v>65</v>
      </c>
      <c r="M6" s="495" t="s">
        <v>86</v>
      </c>
      <c r="N6" s="496" t="s">
        <v>90</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104" t="s">
        <v>80</v>
      </c>
      <c r="O7" s="104" t="s">
        <v>81</v>
      </c>
      <c r="P7" s="496"/>
      <c r="Q7" s="495"/>
      <c r="R7" s="492"/>
      <c r="S7" s="495" t="s">
        <v>67</v>
      </c>
      <c r="T7" s="492"/>
      <c r="U7" s="492"/>
      <c r="V7" s="492"/>
      <c r="W7" s="492"/>
      <c r="X7" s="105" t="s">
        <v>5</v>
      </c>
      <c r="Y7" s="105" t="s">
        <v>6</v>
      </c>
      <c r="Z7" s="105" t="s">
        <v>74</v>
      </c>
      <c r="AA7" s="105" t="s">
        <v>5</v>
      </c>
      <c r="AB7" s="105" t="s">
        <v>6</v>
      </c>
      <c r="AC7" s="105" t="s">
        <v>75</v>
      </c>
      <c r="AD7" s="105" t="s">
        <v>5</v>
      </c>
      <c r="AE7" s="105" t="s">
        <v>6</v>
      </c>
      <c r="AF7" s="105" t="s">
        <v>76</v>
      </c>
      <c r="AG7" s="493"/>
      <c r="AH7" s="493"/>
      <c r="AK7" s="99" t="s">
        <v>64</v>
      </c>
      <c r="AL7" s="99" t="s">
        <v>62</v>
      </c>
      <c r="AM7" s="99" t="s">
        <v>63</v>
      </c>
    </row>
    <row r="8" spans="1:45" ht="18" customHeight="1" x14ac:dyDescent="0.25">
      <c r="A8" s="103">
        <v>1</v>
      </c>
      <c r="B8" s="103">
        <v>2</v>
      </c>
      <c r="C8" s="103">
        <v>3</v>
      </c>
      <c r="D8" s="103">
        <v>4</v>
      </c>
      <c r="E8" s="103">
        <v>5</v>
      </c>
      <c r="F8" s="103">
        <v>6</v>
      </c>
      <c r="G8" s="103">
        <v>7</v>
      </c>
      <c r="H8" s="103">
        <v>8</v>
      </c>
      <c r="I8" s="103">
        <v>9</v>
      </c>
      <c r="J8" s="103">
        <v>10</v>
      </c>
      <c r="K8" s="103">
        <v>11</v>
      </c>
      <c r="L8" s="103">
        <v>12</v>
      </c>
      <c r="M8" s="103">
        <v>13</v>
      </c>
      <c r="N8" s="103">
        <v>14</v>
      </c>
      <c r="O8" s="103">
        <v>15</v>
      </c>
      <c r="P8" s="103">
        <v>16</v>
      </c>
      <c r="Q8" s="103">
        <v>17</v>
      </c>
      <c r="R8" s="103">
        <v>18</v>
      </c>
      <c r="S8" s="103">
        <v>19</v>
      </c>
      <c r="T8" s="103">
        <v>20</v>
      </c>
      <c r="U8" s="103">
        <v>21</v>
      </c>
      <c r="V8" s="103">
        <v>22</v>
      </c>
      <c r="W8" s="103">
        <v>23</v>
      </c>
      <c r="X8" s="103">
        <v>24</v>
      </c>
      <c r="Y8" s="103">
        <v>25</v>
      </c>
      <c r="Z8" s="103">
        <v>26</v>
      </c>
      <c r="AA8" s="103">
        <v>27</v>
      </c>
      <c r="AB8" s="103">
        <v>28</v>
      </c>
      <c r="AC8" s="103">
        <v>29</v>
      </c>
      <c r="AD8" s="103">
        <v>30</v>
      </c>
      <c r="AE8" s="103">
        <v>31</v>
      </c>
      <c r="AF8" s="103">
        <v>32</v>
      </c>
      <c r="AG8" s="103">
        <v>33</v>
      </c>
      <c r="AH8" s="103">
        <v>34</v>
      </c>
      <c r="AN8" s="212" t="s">
        <v>116</v>
      </c>
      <c r="AO8" s="212" t="s">
        <v>117</v>
      </c>
      <c r="AP8" s="212" t="s">
        <v>118</v>
      </c>
      <c r="AQ8" s="212" t="s">
        <v>119</v>
      </c>
    </row>
    <row r="9" spans="1:45" ht="16.5" customHeight="1" x14ac:dyDescent="0.25">
      <c r="A9" s="103">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689">
        <v>1</v>
      </c>
      <c r="V9" s="95">
        <f t="shared" ref="V9:V26" si="9">T9*$U$9</f>
        <v>1557.6</v>
      </c>
      <c r="W9" s="95">
        <f>AQ9</f>
        <v>401.5</v>
      </c>
      <c r="X9" s="103">
        <v>1</v>
      </c>
      <c r="Y9" s="112">
        <v>30</v>
      </c>
      <c r="Z9" s="113">
        <f t="shared" ref="Z9:Z27" si="10">X9*Y9</f>
        <v>30</v>
      </c>
      <c r="AA9" s="103"/>
      <c r="AB9" s="112">
        <v>15</v>
      </c>
      <c r="AC9" s="113">
        <f t="shared" ref="AC9:AC27" si="11">AA9*AB9</f>
        <v>0</v>
      </c>
      <c r="AD9" s="103"/>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103">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690"/>
      <c r="V10" s="95">
        <f t="shared" si="9"/>
        <v>2754</v>
      </c>
      <c r="W10" s="95">
        <f>AQ10</f>
        <v>747.6</v>
      </c>
      <c r="X10" s="103"/>
      <c r="Y10" s="112">
        <v>30</v>
      </c>
      <c r="Z10" s="113">
        <f t="shared" si="10"/>
        <v>0</v>
      </c>
      <c r="AA10" s="103"/>
      <c r="AB10" s="112">
        <v>15</v>
      </c>
      <c r="AC10" s="113">
        <f t="shared" si="11"/>
        <v>0</v>
      </c>
      <c r="AD10" s="103"/>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103">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690"/>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103">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690"/>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103">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690"/>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103">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690"/>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103">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690"/>
      <c r="V15" s="95">
        <f t="shared" si="9"/>
        <v>588.29999999999995</v>
      </c>
      <c r="W15" s="95">
        <f t="shared" si="20"/>
        <v>177.7</v>
      </c>
      <c r="X15" s="103"/>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103">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690"/>
      <c r="V16" s="95">
        <f t="shared" si="9"/>
        <v>662.8</v>
      </c>
      <c r="W16" s="95">
        <f t="shared" si="20"/>
        <v>200.2</v>
      </c>
      <c r="X16" s="103"/>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103">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690"/>
      <c r="V17" s="95">
        <f t="shared" si="9"/>
        <v>668.4</v>
      </c>
      <c r="W17" s="95">
        <f t="shared" si="20"/>
        <v>201.9</v>
      </c>
      <c r="X17" s="103"/>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103">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690"/>
      <c r="V18" s="95">
        <f t="shared" si="9"/>
        <v>1198</v>
      </c>
      <c r="W18" s="95">
        <f t="shared" si="20"/>
        <v>361.8</v>
      </c>
      <c r="X18" s="103"/>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103">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690"/>
      <c r="V19" s="95">
        <f t="shared" si="9"/>
        <v>872</v>
      </c>
      <c r="W19" s="95">
        <f t="shared" si="20"/>
        <v>263.3</v>
      </c>
      <c r="X19" s="103"/>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103">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690"/>
      <c r="V20" s="95">
        <f t="shared" si="9"/>
        <v>779.2</v>
      </c>
      <c r="W20" s="95">
        <f t="shared" si="20"/>
        <v>235.3</v>
      </c>
      <c r="X20" s="103"/>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74">
        <v>13</v>
      </c>
      <c r="B21" s="52" t="s">
        <v>132</v>
      </c>
      <c r="C21" s="167">
        <v>1</v>
      </c>
      <c r="D21" s="177">
        <v>8.4730000000000008</v>
      </c>
      <c r="E21" s="171">
        <f>C21*D21</f>
        <v>8.4700000000000006</v>
      </c>
      <c r="F21" s="154">
        <f>E21*12</f>
        <v>101.6</v>
      </c>
      <c r="G21" s="154"/>
      <c r="H21" s="154">
        <f>4130.4/1000</f>
        <v>4.0999999999999996</v>
      </c>
      <c r="I21" s="154"/>
      <c r="J21" s="154"/>
      <c r="K21" s="154"/>
      <c r="L21" s="154">
        <f>F21*$L$4</f>
        <v>27.6</v>
      </c>
      <c r="M21" s="154">
        <f>F21+G21+H21+I21+J21+K21+L21</f>
        <v>133.30000000000001</v>
      </c>
      <c r="N21" s="171">
        <v>0.47</v>
      </c>
      <c r="O21" s="154">
        <f>M21*N21</f>
        <v>62.7</v>
      </c>
      <c r="P21" s="154">
        <f>M21+O21</f>
        <v>196</v>
      </c>
      <c r="Q21" s="154">
        <f>P21*0.8</f>
        <v>156.80000000000001</v>
      </c>
      <c r="R21" s="154">
        <f>P21*0.8</f>
        <v>156.80000000000001</v>
      </c>
      <c r="S21" s="154">
        <f>(P21+Q21+R21)*0.032</f>
        <v>16.3</v>
      </c>
      <c r="T21" s="154">
        <f>P21+Q21+R21+S21</f>
        <v>525.9</v>
      </c>
      <c r="U21" s="690"/>
      <c r="V21" s="154">
        <f>T21*$U$9</f>
        <v>525.9</v>
      </c>
      <c r="W21" s="95">
        <f t="shared" si="20"/>
        <v>158.80000000000001</v>
      </c>
      <c r="X21" s="40"/>
      <c r="Y21" s="24">
        <v>30</v>
      </c>
      <c r="Z21" s="48">
        <f>X21*Y21</f>
        <v>0</v>
      </c>
      <c r="AA21" s="54"/>
      <c r="AB21" s="24">
        <v>15</v>
      </c>
      <c r="AC21" s="48">
        <f>AA21*AB21</f>
        <v>0</v>
      </c>
      <c r="AD21" s="54"/>
      <c r="AE21" s="24">
        <v>30</v>
      </c>
      <c r="AF21" s="48">
        <f>AD21*AE21</f>
        <v>0</v>
      </c>
      <c r="AG21" s="48">
        <f>(Z21+AC21+AF21)*1%*30</f>
        <v>0</v>
      </c>
      <c r="AH21" s="48">
        <f>Z21+AC21+AF21+AG21</f>
        <v>0</v>
      </c>
      <c r="AI21" s="39">
        <f t="shared" si="15"/>
        <v>43825</v>
      </c>
      <c r="AK21" s="34">
        <f t="shared" si="16"/>
        <v>525.9</v>
      </c>
      <c r="AL21" s="34">
        <f>((979*0.302)+((AK21-979)*0.182))</f>
        <v>213.2</v>
      </c>
      <c r="AM21" s="51">
        <v>0.30199999999999999</v>
      </c>
      <c r="AN21" s="211"/>
      <c r="AO21" s="211"/>
      <c r="AP21" s="211"/>
      <c r="AQ21" s="211"/>
      <c r="AS21" s="22">
        <f t="shared" si="17"/>
        <v>12.7095</v>
      </c>
    </row>
    <row r="22" spans="1:45" x14ac:dyDescent="0.25">
      <c r="A22" s="103">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690"/>
      <c r="V22" s="95">
        <f t="shared" si="9"/>
        <v>878.1</v>
      </c>
      <c r="W22" s="95">
        <f t="shared" si="20"/>
        <v>265.2</v>
      </c>
      <c r="X22" s="103">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103">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690"/>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103">
        <v>16</v>
      </c>
      <c r="B24" s="236" t="s">
        <v>102</v>
      </c>
      <c r="C24" s="174">
        <v>0.5</v>
      </c>
      <c r="D24" s="237">
        <v>4.3769999999999998</v>
      </c>
      <c r="E24" s="111">
        <f t="shared" si="0"/>
        <v>2.19</v>
      </c>
      <c r="F24" s="95">
        <f t="shared" si="1"/>
        <v>26.3</v>
      </c>
      <c r="G24" s="95"/>
      <c r="H24" s="95"/>
      <c r="I24" s="95"/>
      <c r="J24" s="95"/>
      <c r="K24" s="95"/>
      <c r="L24" s="95">
        <f t="shared" si="18"/>
        <v>7.2</v>
      </c>
      <c r="M24" s="95">
        <f>F24+G24+H24+I24+J24+K24+L24</f>
        <v>33.5</v>
      </c>
      <c r="N24" s="111">
        <v>0.49</v>
      </c>
      <c r="O24" s="95">
        <f>M24*N24</f>
        <v>16.399999999999999</v>
      </c>
      <c r="P24" s="95">
        <f>M24+O24</f>
        <v>49.9</v>
      </c>
      <c r="Q24" s="95">
        <f>P24*0.8</f>
        <v>39.9</v>
      </c>
      <c r="R24" s="95">
        <f>P24*0.8</f>
        <v>39.9</v>
      </c>
      <c r="S24" s="95">
        <f>(P24+Q24+R24)*0.032</f>
        <v>4.2</v>
      </c>
      <c r="T24" s="95">
        <f>P24+Q24+R24+S24</f>
        <v>133.9</v>
      </c>
      <c r="U24" s="690"/>
      <c r="V24" s="95">
        <f>T24*$U$9</f>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103">
        <v>17</v>
      </c>
      <c r="B25" s="236" t="s">
        <v>136</v>
      </c>
      <c r="C25" s="174">
        <v>0.5</v>
      </c>
      <c r="D25" s="237">
        <v>4.3769999999999998</v>
      </c>
      <c r="E25" s="111">
        <f t="shared" si="0"/>
        <v>2.19</v>
      </c>
      <c r="F25" s="95">
        <f t="shared" si="1"/>
        <v>26.3</v>
      </c>
      <c r="G25" s="95"/>
      <c r="H25" s="95"/>
      <c r="I25" s="95"/>
      <c r="J25" s="95"/>
      <c r="K25" s="95"/>
      <c r="L25" s="95">
        <f t="shared" si="18"/>
        <v>7.2</v>
      </c>
      <c r="M25" s="95">
        <f>F25+G25+H25+I25+J25+K25+L25</f>
        <v>33.5</v>
      </c>
      <c r="N25" s="111">
        <v>0.49</v>
      </c>
      <c r="O25" s="95">
        <f>M25*N25</f>
        <v>16.399999999999999</v>
      </c>
      <c r="P25" s="95">
        <f>M25+O25</f>
        <v>49.9</v>
      </c>
      <c r="Q25" s="95">
        <f>P25*0.8</f>
        <v>39.9</v>
      </c>
      <c r="R25" s="95">
        <f>P25*0.8</f>
        <v>39.9</v>
      </c>
      <c r="S25" s="95">
        <f>(P25+Q25+R25)*0.032</f>
        <v>4.2</v>
      </c>
      <c r="T25" s="95">
        <f>P25+Q25+R25+S25</f>
        <v>133.9</v>
      </c>
      <c r="U25" s="690"/>
      <c r="V25" s="95">
        <f>T25*$U$9</f>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103">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690"/>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103">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690"/>
      <c r="V27" s="95">
        <f>T27*$U$9+0.1</f>
        <v>725.3</v>
      </c>
      <c r="W27" s="95">
        <f t="shared" si="20"/>
        <v>219</v>
      </c>
      <c r="X27" s="103">
        <v>1</v>
      </c>
      <c r="Y27" s="112">
        <v>30</v>
      </c>
      <c r="Z27" s="113">
        <f t="shared" si="10"/>
        <v>30</v>
      </c>
      <c r="AA27" s="103"/>
      <c r="AB27" s="112">
        <v>15</v>
      </c>
      <c r="AC27" s="113">
        <f t="shared" si="11"/>
        <v>0</v>
      </c>
      <c r="AD27" s="103"/>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693" t="s">
        <v>8</v>
      </c>
      <c r="B28" s="693"/>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481" t="s">
        <v>140</v>
      </c>
      <c r="H31" s="481"/>
      <c r="I31" s="481" t="s">
        <v>145</v>
      </c>
      <c r="J31" s="481"/>
      <c r="K31" s="481" t="s">
        <v>128</v>
      </c>
      <c r="L31" s="481"/>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78">
        <v>991</v>
      </c>
      <c r="H32" s="78">
        <v>992</v>
      </c>
      <c r="I32" s="78">
        <v>991</v>
      </c>
      <c r="J32" s="78">
        <v>992</v>
      </c>
      <c r="K32" s="78">
        <v>991</v>
      </c>
      <c r="L32" s="78">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35"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X5:AH5"/>
    <mergeCell ref="R6:R7"/>
    <mergeCell ref="AE1:AH1"/>
    <mergeCell ref="A2:AH2"/>
    <mergeCell ref="A3:AH3"/>
    <mergeCell ref="A5:A7"/>
    <mergeCell ref="B5:B7"/>
    <mergeCell ref="C5:C7"/>
    <mergeCell ref="D5:W5"/>
    <mergeCell ref="D6:D7"/>
    <mergeCell ref="E6:E7"/>
    <mergeCell ref="F6:F7"/>
    <mergeCell ref="A28:B28"/>
    <mergeCell ref="S6:S7"/>
    <mergeCell ref="T6:T7"/>
    <mergeCell ref="U6:U7"/>
    <mergeCell ref="V6:V7"/>
    <mergeCell ref="L6:L7"/>
    <mergeCell ref="M6:M7"/>
    <mergeCell ref="N6:O6"/>
    <mergeCell ref="P6:P7"/>
    <mergeCell ref="Q6:Q7"/>
    <mergeCell ref="G6:G7"/>
    <mergeCell ref="H6:H7"/>
    <mergeCell ref="I6:I7"/>
    <mergeCell ref="J6:J7"/>
    <mergeCell ref="G31:H31"/>
    <mergeCell ref="AA6:AC6"/>
    <mergeCell ref="AD6:AF6"/>
    <mergeCell ref="K6:K7"/>
    <mergeCell ref="AH6:AH7"/>
    <mergeCell ref="U9:U27"/>
    <mergeCell ref="W6:W7"/>
    <mergeCell ref="X6:Z6"/>
    <mergeCell ref="I31:J31"/>
    <mergeCell ref="K31:L31"/>
    <mergeCell ref="AG6:AG7"/>
  </mergeCells>
  <printOptions horizontalCentered="1"/>
  <pageMargins left="0" right="0" top="0" bottom="0" header="0.31496062992125984" footer="0.31496062992125984"/>
  <pageSetup paperSize="9" scale="3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P74"/>
  <sheetViews>
    <sheetView view="pageBreakPreview" zoomScale="70" zoomScaleNormal="80" zoomScaleSheetLayoutView="70" workbookViewId="0">
      <pane xSplit="3" ySplit="8" topLeftCell="V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488"/>
      <c r="AF1" s="488"/>
      <c r="AG1" s="488"/>
      <c r="AH1" s="488"/>
    </row>
    <row r="2" spans="1:42" ht="33" customHeight="1" x14ac:dyDescent="0.25">
      <c r="A2" s="489" t="s">
        <v>153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2"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283"/>
    </row>
    <row r="4" spans="1:42" x14ac:dyDescent="0.25">
      <c r="L4" s="22">
        <v>0.32216</v>
      </c>
      <c r="O4" s="39"/>
      <c r="P4" s="39"/>
    </row>
    <row r="5" spans="1:42" ht="38.25" customHeight="1" x14ac:dyDescent="0.25">
      <c r="A5" s="491" t="s">
        <v>78</v>
      </c>
      <c r="B5" s="491"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2" ht="60" customHeight="1" x14ac:dyDescent="0.25">
      <c r="A6" s="491"/>
      <c r="B6" s="491"/>
      <c r="C6" s="479"/>
      <c r="D6" s="478" t="s">
        <v>79</v>
      </c>
      <c r="E6" s="478" t="s">
        <v>69</v>
      </c>
      <c r="F6" s="478" t="s">
        <v>89</v>
      </c>
      <c r="G6" s="478" t="s">
        <v>1</v>
      </c>
      <c r="H6" s="478" t="s">
        <v>2</v>
      </c>
      <c r="I6" s="478" t="s">
        <v>70</v>
      </c>
      <c r="J6" s="478" t="s">
        <v>61</v>
      </c>
      <c r="K6" s="478" t="s">
        <v>27</v>
      </c>
      <c r="L6" s="482" t="s">
        <v>65</v>
      </c>
      <c r="M6" s="482" t="s">
        <v>86</v>
      </c>
      <c r="N6" s="483" t="s">
        <v>90</v>
      </c>
      <c r="O6" s="483"/>
      <c r="P6" s="483" t="s">
        <v>88</v>
      </c>
      <c r="Q6" s="482" t="s">
        <v>82</v>
      </c>
      <c r="R6" s="478" t="s">
        <v>83</v>
      </c>
      <c r="S6" s="482"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2" ht="57" customHeight="1" x14ac:dyDescent="0.25">
      <c r="A7" s="491"/>
      <c r="B7" s="491"/>
      <c r="C7" s="479"/>
      <c r="D7" s="478"/>
      <c r="E7" s="478"/>
      <c r="F7" s="478"/>
      <c r="G7" s="478"/>
      <c r="H7" s="478"/>
      <c r="I7" s="478"/>
      <c r="J7" s="478"/>
      <c r="K7" s="478"/>
      <c r="L7" s="482" t="s">
        <v>66</v>
      </c>
      <c r="M7" s="482"/>
      <c r="N7" s="281" t="s">
        <v>80</v>
      </c>
      <c r="O7" s="281" t="s">
        <v>81</v>
      </c>
      <c r="P7" s="483"/>
      <c r="Q7" s="482"/>
      <c r="R7" s="478"/>
      <c r="S7" s="482" t="s">
        <v>67</v>
      </c>
      <c r="T7" s="478"/>
      <c r="U7" s="478"/>
      <c r="V7" s="478"/>
      <c r="W7" s="478"/>
      <c r="X7" s="280" t="s">
        <v>5</v>
      </c>
      <c r="Y7" s="280" t="s">
        <v>6</v>
      </c>
      <c r="Z7" s="280" t="s">
        <v>74</v>
      </c>
      <c r="AA7" s="280" t="s">
        <v>5</v>
      </c>
      <c r="AB7" s="280" t="s">
        <v>6</v>
      </c>
      <c r="AC7" s="280" t="s">
        <v>75</v>
      </c>
      <c r="AD7" s="280" t="s">
        <v>5</v>
      </c>
      <c r="AE7" s="280" t="s">
        <v>6</v>
      </c>
      <c r="AF7" s="280" t="s">
        <v>76</v>
      </c>
      <c r="AG7" s="479"/>
      <c r="AH7" s="479"/>
      <c r="AJ7" s="33" t="s">
        <v>64</v>
      </c>
    </row>
    <row r="8" spans="1:42" ht="12.75" customHeight="1"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K8" s="43" t="s">
        <v>116</v>
      </c>
      <c r="AL8" s="43" t="s">
        <v>117</v>
      </c>
      <c r="AM8" s="43" t="s">
        <v>118</v>
      </c>
      <c r="AN8" s="43" t="s">
        <v>119</v>
      </c>
    </row>
    <row r="9" spans="1:42" ht="27" customHeight="1" x14ac:dyDescent="0.25">
      <c r="A9" s="278">
        <v>1</v>
      </c>
      <c r="B9" s="44" t="s">
        <v>21</v>
      </c>
      <c r="C9" s="278">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486">
        <v>1</v>
      </c>
      <c r="V9" s="49">
        <f>T9*$U$9</f>
        <v>2425.9</v>
      </c>
      <c r="W9" s="49">
        <f>AN9</f>
        <v>534.29999999999995</v>
      </c>
      <c r="X9" s="278">
        <v>1</v>
      </c>
      <c r="Y9" s="24">
        <v>30</v>
      </c>
      <c r="Z9" s="48">
        <f t="shared" ref="Z9:Z25" si="4">X9*Y9</f>
        <v>30</v>
      </c>
      <c r="AA9" s="278"/>
      <c r="AB9" s="24">
        <v>15</v>
      </c>
      <c r="AC9" s="48">
        <f t="shared" ref="AC9:AC25" si="5">AA9*AB9</f>
        <v>0</v>
      </c>
      <c r="AD9" s="278"/>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78">
        <v>2</v>
      </c>
      <c r="B10" s="44" t="s">
        <v>125</v>
      </c>
      <c r="C10" s="278">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487"/>
      <c r="V10" s="49">
        <f>T10*$U$9</f>
        <v>3482.1</v>
      </c>
      <c r="W10" s="49">
        <f>AN10</f>
        <v>1022.1</v>
      </c>
      <c r="X10" s="278">
        <v>2</v>
      </c>
      <c r="Y10" s="24">
        <v>30</v>
      </c>
      <c r="Z10" s="48">
        <f>X10*Y10</f>
        <v>60</v>
      </c>
      <c r="AA10" s="278">
        <v>1</v>
      </c>
      <c r="AB10" s="24">
        <v>15</v>
      </c>
      <c r="AC10" s="48">
        <f>AA10*AB10</f>
        <v>15</v>
      </c>
      <c r="AD10" s="278">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 t="shared" si="11"/>
        <v>184.6</v>
      </c>
      <c r="AN10" s="50">
        <f>SUM(AK10:AM10)</f>
        <v>1022.1</v>
      </c>
      <c r="AP10" s="51"/>
    </row>
    <row r="11" spans="1:42" ht="27" customHeight="1" x14ac:dyDescent="0.25">
      <c r="A11" s="278">
        <v>3</v>
      </c>
      <c r="B11" s="52" t="s">
        <v>23</v>
      </c>
      <c r="C11" s="278">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487"/>
      <c r="V11" s="49">
        <f t="shared" ref="V11:V25" si="18">T11*$U$9</f>
        <v>5864.1</v>
      </c>
      <c r="W11" s="49">
        <f>V11*0.302</f>
        <v>1771</v>
      </c>
      <c r="X11" s="278">
        <v>2</v>
      </c>
      <c r="Y11" s="24">
        <v>30</v>
      </c>
      <c r="Z11" s="48">
        <f t="shared" si="4"/>
        <v>60</v>
      </c>
      <c r="AA11" s="278">
        <v>3</v>
      </c>
      <c r="AB11" s="24">
        <v>15</v>
      </c>
      <c r="AC11" s="48">
        <f t="shared" si="5"/>
        <v>45</v>
      </c>
      <c r="AD11" s="278"/>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78">
        <v>4</v>
      </c>
      <c r="B12" s="52" t="s">
        <v>134</v>
      </c>
      <c r="C12" s="278">
        <v>1</v>
      </c>
      <c r="D12" s="53">
        <v>11.061999999999999</v>
      </c>
      <c r="E12" s="46">
        <f t="shared" si="13"/>
        <v>11.06</v>
      </c>
      <c r="F12" s="47">
        <f t="shared" si="14"/>
        <v>132.69999999999999</v>
      </c>
      <c r="G12" s="24"/>
      <c r="H12" s="24">
        <f>1078.5/1000</f>
        <v>1.1000000000000001</v>
      </c>
      <c r="I12" s="24"/>
      <c r="J12" s="24"/>
      <c r="K12" s="24"/>
      <c r="L12" s="24">
        <f t="shared" si="12"/>
        <v>42.8</v>
      </c>
      <c r="M12" s="24">
        <f t="shared" si="0"/>
        <v>176.6</v>
      </c>
      <c r="N12" s="48">
        <v>0.43</v>
      </c>
      <c r="O12" s="24">
        <f t="shared" si="1"/>
        <v>75.900000000000006</v>
      </c>
      <c r="P12" s="24">
        <f t="shared" si="15"/>
        <v>252.5</v>
      </c>
      <c r="Q12" s="24">
        <f t="shared" si="16"/>
        <v>202</v>
      </c>
      <c r="R12" s="24">
        <f t="shared" si="2"/>
        <v>202</v>
      </c>
      <c r="S12" s="24">
        <f t="shared" si="17"/>
        <v>21</v>
      </c>
      <c r="T12" s="49">
        <f t="shared" si="3"/>
        <v>677.5</v>
      </c>
      <c r="U12" s="487"/>
      <c r="V12" s="49">
        <f t="shared" si="18"/>
        <v>677.5</v>
      </c>
      <c r="W12" s="49">
        <f t="shared" ref="W12:W26" si="21">V12*0.302</f>
        <v>204.6</v>
      </c>
      <c r="X12" s="278"/>
      <c r="Y12" s="24">
        <v>30</v>
      </c>
      <c r="Z12" s="48">
        <f t="shared" si="4"/>
        <v>0</v>
      </c>
      <c r="AA12" s="278"/>
      <c r="AB12" s="24">
        <v>15</v>
      </c>
      <c r="AC12" s="48">
        <f t="shared" si="5"/>
        <v>0</v>
      </c>
      <c r="AD12" s="278"/>
      <c r="AE12" s="24">
        <v>30</v>
      </c>
      <c r="AF12" s="48">
        <f t="shared" si="6"/>
        <v>0</v>
      </c>
      <c r="AG12" s="48">
        <f>(Z12+AC12+AF12)*1%*30</f>
        <v>0</v>
      </c>
      <c r="AH12" s="48">
        <f t="shared" si="8"/>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78">
        <v>5</v>
      </c>
      <c r="B13" s="52" t="s">
        <v>17</v>
      </c>
      <c r="C13" s="278">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487"/>
      <c r="V13" s="49">
        <f t="shared" si="18"/>
        <v>1010.5</v>
      </c>
      <c r="W13" s="49">
        <f>AN13</f>
        <v>301</v>
      </c>
      <c r="X13" s="278">
        <v>1</v>
      </c>
      <c r="Y13" s="24">
        <v>30</v>
      </c>
      <c r="Z13" s="48">
        <f t="shared" si="4"/>
        <v>30</v>
      </c>
      <c r="AA13" s="278">
        <v>1</v>
      </c>
      <c r="AB13" s="24">
        <v>15</v>
      </c>
      <c r="AC13" s="48">
        <f t="shared" si="5"/>
        <v>15</v>
      </c>
      <c r="AD13" s="278">
        <v>1</v>
      </c>
      <c r="AE13" s="24">
        <v>30</v>
      </c>
      <c r="AF13" s="48">
        <f t="shared" si="6"/>
        <v>30</v>
      </c>
      <c r="AG13" s="48">
        <f t="shared" si="7"/>
        <v>22.5</v>
      </c>
      <c r="AH13" s="48">
        <f t="shared" si="8"/>
        <v>97.5</v>
      </c>
      <c r="AI13" s="34">
        <f t="shared" si="9"/>
        <v>84208.3</v>
      </c>
      <c r="AJ13" s="34">
        <f t="shared" si="10"/>
        <v>1010.5</v>
      </c>
      <c r="AK13" s="50">
        <f t="shared" si="19"/>
        <v>222.3</v>
      </c>
      <c r="AL13" s="50">
        <f>865*0.029*C13</f>
        <v>25.1</v>
      </c>
      <c r="AM13" s="50">
        <f t="shared" si="11"/>
        <v>53.6</v>
      </c>
      <c r="AN13" s="50">
        <f>SUM(AK13:AM13)</f>
        <v>301</v>
      </c>
      <c r="AP13" s="51"/>
    </row>
    <row r="14" spans="1:42" ht="34.5" customHeight="1" x14ac:dyDescent="0.25">
      <c r="A14" s="278">
        <v>6</v>
      </c>
      <c r="B14" s="52" t="s">
        <v>129</v>
      </c>
      <c r="C14" s="54">
        <v>1</v>
      </c>
      <c r="D14" s="53">
        <v>8.4730000000000008</v>
      </c>
      <c r="E14" s="46">
        <f>C14*D14</f>
        <v>8.4700000000000006</v>
      </c>
      <c r="F14" s="47">
        <f>E14*11</f>
        <v>93.2</v>
      </c>
      <c r="G14" s="24"/>
      <c r="H14" s="24">
        <f>826.1/1000</f>
        <v>0.8</v>
      </c>
      <c r="I14" s="24"/>
      <c r="J14" s="24"/>
      <c r="K14" s="24">
        <f>F14*0.2</f>
        <v>18.600000000000001</v>
      </c>
      <c r="L14" s="24">
        <f t="shared" si="12"/>
        <v>30</v>
      </c>
      <c r="M14" s="24">
        <f t="shared" si="0"/>
        <v>142.6</v>
      </c>
      <c r="N14" s="48">
        <v>0.41</v>
      </c>
      <c r="O14" s="24">
        <f t="shared" si="1"/>
        <v>58.5</v>
      </c>
      <c r="P14" s="24">
        <f t="shared" si="15"/>
        <v>201.1</v>
      </c>
      <c r="Q14" s="24">
        <f t="shared" si="16"/>
        <v>160.9</v>
      </c>
      <c r="R14" s="24">
        <f t="shared" si="2"/>
        <v>160.9</v>
      </c>
      <c r="S14" s="24">
        <f t="shared" si="17"/>
        <v>16.7</v>
      </c>
      <c r="T14" s="49">
        <f t="shared" si="3"/>
        <v>539.6</v>
      </c>
      <c r="U14" s="487"/>
      <c r="V14" s="49">
        <f>T14*$U$9</f>
        <v>539.6</v>
      </c>
      <c r="W14" s="49">
        <f t="shared" si="21"/>
        <v>163</v>
      </c>
      <c r="X14" s="278">
        <v>1</v>
      </c>
      <c r="Y14" s="24">
        <v>30</v>
      </c>
      <c r="Z14" s="48">
        <f t="shared" si="4"/>
        <v>30</v>
      </c>
      <c r="AA14" s="278">
        <v>1</v>
      </c>
      <c r="AB14" s="24">
        <v>15</v>
      </c>
      <c r="AC14" s="48">
        <f t="shared" si="5"/>
        <v>15</v>
      </c>
      <c r="AD14" s="278">
        <v>1</v>
      </c>
      <c r="AE14" s="24">
        <v>30</v>
      </c>
      <c r="AF14" s="48">
        <f t="shared" si="6"/>
        <v>30</v>
      </c>
      <c r="AG14" s="48">
        <f t="shared" si="7"/>
        <v>22.5</v>
      </c>
      <c r="AH14" s="48">
        <f t="shared" si="8"/>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78">
        <v>7</v>
      </c>
      <c r="B15" s="52" t="s">
        <v>22</v>
      </c>
      <c r="C15" s="278">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487"/>
      <c r="V15" s="49">
        <f>T15*$U$9</f>
        <v>881.4</v>
      </c>
      <c r="W15" s="49">
        <f>AN15</f>
        <v>265.7</v>
      </c>
      <c r="X15" s="278">
        <v>1</v>
      </c>
      <c r="Y15" s="24">
        <v>30</v>
      </c>
      <c r="Z15" s="48">
        <f>X15*Y15</f>
        <v>30</v>
      </c>
      <c r="AA15" s="278"/>
      <c r="AB15" s="24">
        <v>15</v>
      </c>
      <c r="AC15" s="48">
        <f>AA15*AB15</f>
        <v>0</v>
      </c>
      <c r="AD15" s="278"/>
      <c r="AE15" s="24">
        <v>30</v>
      </c>
      <c r="AF15" s="48">
        <f>AD15*AE15</f>
        <v>0</v>
      </c>
      <c r="AG15" s="48">
        <f>(Z15+AC15+AF15)*1%*30</f>
        <v>9</v>
      </c>
      <c r="AH15" s="48">
        <f>Z15+AC15+AF15+AG15</f>
        <v>39</v>
      </c>
      <c r="AI15" s="34">
        <f t="shared" si="9"/>
        <v>73450</v>
      </c>
      <c r="AJ15" s="34">
        <f t="shared" si="10"/>
        <v>881.4</v>
      </c>
      <c r="AK15" s="50">
        <f t="shared" si="19"/>
        <v>193.9</v>
      </c>
      <c r="AL15" s="50">
        <f>865*0.029*C15</f>
        <v>25.1</v>
      </c>
      <c r="AM15" s="50">
        <f t="shared" si="11"/>
        <v>46.7</v>
      </c>
      <c r="AN15" s="50">
        <f>SUM(AK15:AM15)</f>
        <v>265.7</v>
      </c>
      <c r="AP15" s="51"/>
    </row>
    <row r="16" spans="1:42" ht="27" customHeight="1" x14ac:dyDescent="0.25">
      <c r="A16" s="278">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487"/>
      <c r="V16" s="49">
        <f>T16*$U$9</f>
        <v>3180.3</v>
      </c>
      <c r="W16" s="49">
        <f t="shared" si="21"/>
        <v>960.5</v>
      </c>
      <c r="X16" s="278"/>
      <c r="Y16" s="24">
        <v>30</v>
      </c>
      <c r="Z16" s="48">
        <f t="shared" si="4"/>
        <v>0</v>
      </c>
      <c r="AA16" s="278"/>
      <c r="AB16" s="24">
        <v>15</v>
      </c>
      <c r="AC16" s="48">
        <f t="shared" si="5"/>
        <v>0</v>
      </c>
      <c r="AD16" s="278"/>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78">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487"/>
      <c r="V17" s="49">
        <f t="shared" si="18"/>
        <v>8537.6</v>
      </c>
      <c r="W17" s="49">
        <f t="shared" si="21"/>
        <v>2578.4</v>
      </c>
      <c r="X17" s="278">
        <v>10</v>
      </c>
      <c r="Y17" s="24">
        <v>30</v>
      </c>
      <c r="Z17" s="48">
        <f t="shared" si="4"/>
        <v>300</v>
      </c>
      <c r="AA17" s="278">
        <v>3</v>
      </c>
      <c r="AB17" s="24">
        <v>15</v>
      </c>
      <c r="AC17" s="48">
        <f t="shared" si="5"/>
        <v>45</v>
      </c>
      <c r="AD17" s="278">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78">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487"/>
      <c r="V18" s="49">
        <f>T18*$U$9</f>
        <v>5848.3</v>
      </c>
      <c r="W18" s="49">
        <f t="shared" si="21"/>
        <v>1766.2</v>
      </c>
      <c r="X18" s="278">
        <v>7</v>
      </c>
      <c r="Y18" s="24">
        <v>30</v>
      </c>
      <c r="Z18" s="48">
        <f>X18*Y18</f>
        <v>210</v>
      </c>
      <c r="AA18" s="278">
        <v>2</v>
      </c>
      <c r="AB18" s="24">
        <v>15</v>
      </c>
      <c r="AC18" s="48">
        <f>AA18*AB18</f>
        <v>30</v>
      </c>
      <c r="AD18" s="278">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78">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487"/>
      <c r="V19" s="49">
        <f t="shared" si="18"/>
        <v>1197</v>
      </c>
      <c r="W19" s="49">
        <f t="shared" si="21"/>
        <v>361.5</v>
      </c>
      <c r="X19" s="278">
        <v>2</v>
      </c>
      <c r="Y19" s="24">
        <v>30</v>
      </c>
      <c r="Z19" s="48">
        <f t="shared" si="4"/>
        <v>60</v>
      </c>
      <c r="AA19" s="278"/>
      <c r="AB19" s="24">
        <v>15</v>
      </c>
      <c r="AC19" s="48">
        <f t="shared" si="5"/>
        <v>0</v>
      </c>
      <c r="AD19" s="278"/>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78">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487"/>
      <c r="V20" s="49">
        <f t="shared" si="18"/>
        <v>660.1</v>
      </c>
      <c r="W20" s="49">
        <f t="shared" si="21"/>
        <v>199.4</v>
      </c>
      <c r="X20" s="278"/>
      <c r="Y20" s="24">
        <v>30</v>
      </c>
      <c r="Z20" s="48">
        <f t="shared" si="4"/>
        <v>0</v>
      </c>
      <c r="AA20" s="278"/>
      <c r="AB20" s="24">
        <v>15</v>
      </c>
      <c r="AC20" s="48">
        <f t="shared" si="5"/>
        <v>0</v>
      </c>
      <c r="AD20" s="278"/>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78">
        <v>13</v>
      </c>
      <c r="B21" s="52" t="s">
        <v>106</v>
      </c>
      <c r="C21" s="47">
        <v>1</v>
      </c>
      <c r="D21" s="53">
        <v>8.4730000000000008</v>
      </c>
      <c r="E21" s="46">
        <f t="shared" si="13"/>
        <v>8.4700000000000006</v>
      </c>
      <c r="F21" s="47">
        <f t="shared" si="14"/>
        <v>101.6</v>
      </c>
      <c r="G21" s="24"/>
      <c r="H21" s="24">
        <f>917.9/1000</f>
        <v>0.9</v>
      </c>
      <c r="I21" s="24"/>
      <c r="J21" s="24"/>
      <c r="K21" s="24"/>
      <c r="L21" s="24">
        <f t="shared" si="12"/>
        <v>32.700000000000003</v>
      </c>
      <c r="M21" s="24">
        <f t="shared" si="0"/>
        <v>135.19999999999999</v>
      </c>
      <c r="N21" s="48">
        <v>0.47</v>
      </c>
      <c r="O21" s="24">
        <f t="shared" si="1"/>
        <v>63.5</v>
      </c>
      <c r="P21" s="24">
        <f t="shared" si="15"/>
        <v>198.7</v>
      </c>
      <c r="Q21" s="24">
        <f t="shared" si="16"/>
        <v>159</v>
      </c>
      <c r="R21" s="24">
        <f t="shared" si="2"/>
        <v>159</v>
      </c>
      <c r="S21" s="24">
        <f t="shared" si="17"/>
        <v>16.5</v>
      </c>
      <c r="T21" s="49">
        <f t="shared" si="3"/>
        <v>533.20000000000005</v>
      </c>
      <c r="U21" s="487"/>
      <c r="V21" s="49">
        <f t="shared" si="18"/>
        <v>533.20000000000005</v>
      </c>
      <c r="W21" s="49">
        <f t="shared" si="21"/>
        <v>161</v>
      </c>
      <c r="X21" s="278"/>
      <c r="Y21" s="24">
        <v>30</v>
      </c>
      <c r="Z21" s="48">
        <f t="shared" si="4"/>
        <v>0</v>
      </c>
      <c r="AA21" s="278"/>
      <c r="AB21" s="24">
        <v>15</v>
      </c>
      <c r="AC21" s="48">
        <f t="shared" si="5"/>
        <v>0</v>
      </c>
      <c r="AD21" s="278"/>
      <c r="AE21" s="24">
        <v>30</v>
      </c>
      <c r="AF21" s="48">
        <f t="shared" si="6"/>
        <v>0</v>
      </c>
      <c r="AG21" s="48">
        <f t="shared" si="7"/>
        <v>0</v>
      </c>
      <c r="AH21" s="48">
        <f t="shared" si="8"/>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78">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487"/>
      <c r="V22" s="49">
        <f t="shared" si="18"/>
        <v>666.5</v>
      </c>
      <c r="W22" s="49">
        <f t="shared" si="21"/>
        <v>201.3</v>
      </c>
      <c r="X22" s="278">
        <v>2</v>
      </c>
      <c r="Y22" s="24">
        <v>30</v>
      </c>
      <c r="Z22" s="48">
        <f t="shared" si="4"/>
        <v>60</v>
      </c>
      <c r="AA22" s="278">
        <v>1</v>
      </c>
      <c r="AB22" s="24">
        <v>15</v>
      </c>
      <c r="AC22" s="48">
        <f t="shared" si="5"/>
        <v>15</v>
      </c>
      <c r="AD22" s="278"/>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78">
        <v>15</v>
      </c>
      <c r="B23" s="52" t="s">
        <v>20</v>
      </c>
      <c r="C23" s="47">
        <v>0.5</v>
      </c>
      <c r="D23" s="53">
        <v>8.4730000000000008</v>
      </c>
      <c r="E23" s="46">
        <f>C23*D23</f>
        <v>4.24</v>
      </c>
      <c r="F23" s="47">
        <f>E23*12</f>
        <v>50.9</v>
      </c>
      <c r="G23" s="24"/>
      <c r="H23" s="24"/>
      <c r="I23" s="24"/>
      <c r="J23" s="24"/>
      <c r="K23" s="24"/>
      <c r="L23" s="24">
        <f t="shared" si="12"/>
        <v>16.399999999999999</v>
      </c>
      <c r="M23" s="24">
        <f>F23+G23+H23+I23+J23+K23+L23</f>
        <v>67.3</v>
      </c>
      <c r="N23" s="48">
        <v>0.41</v>
      </c>
      <c r="O23" s="24">
        <f t="shared" si="1"/>
        <v>27.6</v>
      </c>
      <c r="P23" s="24">
        <f t="shared" si="15"/>
        <v>94.9</v>
      </c>
      <c r="Q23" s="24">
        <f t="shared" si="16"/>
        <v>75.900000000000006</v>
      </c>
      <c r="R23" s="24">
        <f t="shared" si="2"/>
        <v>75.900000000000006</v>
      </c>
      <c r="S23" s="24">
        <f t="shared" si="17"/>
        <v>7.9</v>
      </c>
      <c r="T23" s="49">
        <f t="shared" si="3"/>
        <v>254.6</v>
      </c>
      <c r="U23" s="487"/>
      <c r="V23" s="49">
        <f t="shared" si="18"/>
        <v>254.6</v>
      </c>
      <c r="W23" s="49">
        <f t="shared" si="21"/>
        <v>76.900000000000006</v>
      </c>
      <c r="X23" s="278"/>
      <c r="Y23" s="24">
        <v>30</v>
      </c>
      <c r="Z23" s="48">
        <f t="shared" si="4"/>
        <v>0</v>
      </c>
      <c r="AA23" s="278"/>
      <c r="AB23" s="24">
        <v>15</v>
      </c>
      <c r="AC23" s="48">
        <f t="shared" si="5"/>
        <v>0</v>
      </c>
      <c r="AD23" s="278"/>
      <c r="AE23" s="24">
        <v>30</v>
      </c>
      <c r="AF23" s="48">
        <f t="shared" si="6"/>
        <v>0</v>
      </c>
      <c r="AG23" s="48">
        <f t="shared" si="7"/>
        <v>0</v>
      </c>
      <c r="AH23" s="48">
        <f t="shared" si="8"/>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78">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487"/>
      <c r="V24" s="49">
        <f t="shared" si="18"/>
        <v>1236.5999999999999</v>
      </c>
      <c r="W24" s="49">
        <f t="shared" si="21"/>
        <v>373.5</v>
      </c>
      <c r="X24" s="278"/>
      <c r="Y24" s="24">
        <v>30</v>
      </c>
      <c r="Z24" s="48">
        <f t="shared" si="4"/>
        <v>0</v>
      </c>
      <c r="AA24" s="278"/>
      <c r="AB24" s="24">
        <v>15</v>
      </c>
      <c r="AC24" s="48">
        <f t="shared" si="5"/>
        <v>0</v>
      </c>
      <c r="AD24" s="278"/>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78">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487"/>
      <c r="V25" s="49">
        <f t="shared" si="18"/>
        <v>587.9</v>
      </c>
      <c r="W25" s="49">
        <f t="shared" si="21"/>
        <v>177.5</v>
      </c>
      <c r="X25" s="278"/>
      <c r="Y25" s="24">
        <v>30</v>
      </c>
      <c r="Z25" s="48">
        <f t="shared" si="4"/>
        <v>0</v>
      </c>
      <c r="AA25" s="278"/>
      <c r="AB25" s="24">
        <v>15</v>
      </c>
      <c r="AC25" s="48">
        <f t="shared" si="5"/>
        <v>0</v>
      </c>
      <c r="AD25" s="278"/>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78">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487"/>
      <c r="V26" s="49">
        <f>T26*$U$9</f>
        <v>1066</v>
      </c>
      <c r="W26" s="49">
        <f t="shared" si="21"/>
        <v>321.89999999999998</v>
      </c>
      <c r="X26" s="278"/>
      <c r="Y26" s="24">
        <v>30</v>
      </c>
      <c r="Z26" s="48">
        <f>X26*Y26</f>
        <v>0</v>
      </c>
      <c r="AA26" s="278"/>
      <c r="AB26" s="24">
        <v>15</v>
      </c>
      <c r="AC26" s="48">
        <f>AA26*AB26</f>
        <v>0</v>
      </c>
      <c r="AD26" s="278"/>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78">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487"/>
      <c r="V27" s="49">
        <f>T27*$U$9-0.2</f>
        <v>711.2</v>
      </c>
      <c r="W27" s="49">
        <f>V27*0.302</f>
        <v>214.8</v>
      </c>
      <c r="X27" s="278"/>
      <c r="Y27" s="24">
        <v>30</v>
      </c>
      <c r="Z27" s="48">
        <f>X27*Y27</f>
        <v>0</v>
      </c>
      <c r="AA27" s="278"/>
      <c r="AB27" s="24">
        <v>15</v>
      </c>
      <c r="AC27" s="48">
        <f>AA27*AB27</f>
        <v>0</v>
      </c>
      <c r="AD27" s="278"/>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476" t="s">
        <v>97</v>
      </c>
      <c r="B28" s="477"/>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481" t="s">
        <v>140</v>
      </c>
      <c r="H32" s="481"/>
      <c r="I32" s="484" t="s">
        <v>141</v>
      </c>
      <c r="J32" s="485"/>
      <c r="K32" s="484" t="s">
        <v>128</v>
      </c>
      <c r="L32" s="485"/>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79">
        <v>991</v>
      </c>
      <c r="H33" s="279">
        <v>992</v>
      </c>
      <c r="I33" s="279">
        <v>991</v>
      </c>
      <c r="J33" s="279">
        <v>992</v>
      </c>
      <c r="K33" s="279">
        <v>991</v>
      </c>
      <c r="L33" s="279">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282"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480"/>
      <c r="B41" s="480"/>
      <c r="C41" s="480"/>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AE1:AH1"/>
    <mergeCell ref="A2:AH2"/>
    <mergeCell ref="A3:AH3"/>
    <mergeCell ref="A5:A7"/>
    <mergeCell ref="B5:B7"/>
    <mergeCell ref="C5:C7"/>
    <mergeCell ref="D5:W5"/>
    <mergeCell ref="X5:AH5"/>
    <mergeCell ref="D6:D7"/>
    <mergeCell ref="E6:E7"/>
    <mergeCell ref="AD6:AF6"/>
    <mergeCell ref="AG6:AG7"/>
    <mergeCell ref="AH6:AH7"/>
    <mergeCell ref="V6:V7"/>
    <mergeCell ref="W6:W7"/>
    <mergeCell ref="X6:Z6"/>
    <mergeCell ref="G32:H32"/>
    <mergeCell ref="I32:J32"/>
    <mergeCell ref="K32:L32"/>
    <mergeCell ref="A41:C41"/>
    <mergeCell ref="AA6:AC6"/>
    <mergeCell ref="R6:R7"/>
    <mergeCell ref="F6:F7"/>
    <mergeCell ref="G6:G7"/>
    <mergeCell ref="H6:H7"/>
    <mergeCell ref="I6:I7"/>
    <mergeCell ref="U6:U7"/>
    <mergeCell ref="L6:L7"/>
    <mergeCell ref="M6:M7"/>
    <mergeCell ref="N6:O6"/>
    <mergeCell ref="P6:P7"/>
    <mergeCell ref="Q6:Q7"/>
    <mergeCell ref="J6:J7"/>
    <mergeCell ref="K6:K7"/>
    <mergeCell ref="U9:U27"/>
    <mergeCell ref="A28:B28"/>
    <mergeCell ref="S6:S7"/>
    <mergeCell ref="T6:T7"/>
  </mergeCells>
  <printOptions horizontalCentered="1"/>
  <pageMargins left="0.25" right="0.25" top="0.75" bottom="0.75" header="0.3" footer="0.3"/>
  <pageSetup paperSize="9" scale="33"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43"/>
  <sheetViews>
    <sheetView view="pageBreakPreview" zoomScale="80" zoomScaleSheetLayoutView="80" workbookViewId="0">
      <pane xSplit="3" ySplit="8" topLeftCell="U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499"/>
      <c r="AF1" s="499"/>
      <c r="AG1" s="499"/>
      <c r="AH1" s="499"/>
    </row>
    <row r="2" spans="1:45" ht="24" customHeight="1" x14ac:dyDescent="0.25">
      <c r="A2" s="500" t="s">
        <v>155</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row>
    <row r="4" spans="1:45" x14ac:dyDescent="0.25">
      <c r="L4" s="102">
        <v>3.8399999999999997E-2</v>
      </c>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79</v>
      </c>
      <c r="E6" s="492" t="s">
        <v>69</v>
      </c>
      <c r="F6" s="492" t="s">
        <v>89</v>
      </c>
      <c r="G6" s="492" t="s">
        <v>1</v>
      </c>
      <c r="H6" s="492" t="s">
        <v>2</v>
      </c>
      <c r="I6" s="492" t="s">
        <v>70</v>
      </c>
      <c r="J6" s="492" t="s">
        <v>61</v>
      </c>
      <c r="K6" s="492" t="s">
        <v>27</v>
      </c>
      <c r="L6" s="495" t="s">
        <v>65</v>
      </c>
      <c r="M6" s="495" t="s">
        <v>86</v>
      </c>
      <c r="N6" s="496" t="s">
        <v>91</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286" t="s">
        <v>80</v>
      </c>
      <c r="O7" s="286" t="s">
        <v>81</v>
      </c>
      <c r="P7" s="496"/>
      <c r="Q7" s="495"/>
      <c r="R7" s="492"/>
      <c r="S7" s="495" t="s">
        <v>67</v>
      </c>
      <c r="T7" s="492"/>
      <c r="U7" s="492"/>
      <c r="V7" s="492"/>
      <c r="W7" s="492"/>
      <c r="X7" s="285" t="s">
        <v>5</v>
      </c>
      <c r="Y7" s="285" t="s">
        <v>6</v>
      </c>
      <c r="Z7" s="285" t="s">
        <v>74</v>
      </c>
      <c r="AA7" s="285" t="s">
        <v>5</v>
      </c>
      <c r="AB7" s="285" t="s">
        <v>6</v>
      </c>
      <c r="AC7" s="285" t="s">
        <v>75</v>
      </c>
      <c r="AD7" s="285" t="s">
        <v>5</v>
      </c>
      <c r="AE7" s="285" t="s">
        <v>6</v>
      </c>
      <c r="AF7" s="285" t="s">
        <v>76</v>
      </c>
      <c r="AG7" s="493"/>
      <c r="AH7" s="493"/>
      <c r="AK7" s="98" t="s">
        <v>64</v>
      </c>
      <c r="AL7" s="98" t="s">
        <v>62</v>
      </c>
      <c r="AM7" s="98" t="s">
        <v>63</v>
      </c>
    </row>
    <row r="8" spans="1:45"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43" t="s">
        <v>116</v>
      </c>
      <c r="AO8" s="43" t="s">
        <v>117</v>
      </c>
      <c r="AP8" s="43" t="s">
        <v>118</v>
      </c>
      <c r="AQ8" s="43" t="s">
        <v>119</v>
      </c>
    </row>
    <row r="9" spans="1:45" ht="16.5" customHeight="1" x14ac:dyDescent="0.25">
      <c r="A9" s="284">
        <v>1</v>
      </c>
      <c r="B9" s="106" t="s">
        <v>21</v>
      </c>
      <c r="C9" s="28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497">
        <v>1</v>
      </c>
      <c r="V9" s="95">
        <f>T9*$U$9</f>
        <v>1348</v>
      </c>
      <c r="W9" s="95">
        <f>AQ9</f>
        <v>369.3</v>
      </c>
      <c r="X9" s="284">
        <v>1</v>
      </c>
      <c r="Y9" s="112">
        <v>30</v>
      </c>
      <c r="Z9" s="113">
        <f t="shared" ref="Z9:Z20" si="8">X9*Y9</f>
        <v>30</v>
      </c>
      <c r="AA9" s="284"/>
      <c r="AB9" s="112">
        <v>15</v>
      </c>
      <c r="AC9" s="113">
        <f t="shared" ref="AC9:AC20" si="9">AA9*AB9</f>
        <v>0</v>
      </c>
      <c r="AD9" s="28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284">
        <v>2</v>
      </c>
      <c r="B10" s="106" t="s">
        <v>125</v>
      </c>
      <c r="C10" s="28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498"/>
      <c r="V10" s="95">
        <f>T10*$U$9</f>
        <v>1138.3</v>
      </c>
      <c r="W10" s="95">
        <f>AQ10</f>
        <v>337.2</v>
      </c>
      <c r="X10" s="284"/>
      <c r="Y10" s="112">
        <v>30</v>
      </c>
      <c r="Z10" s="113">
        <f t="shared" si="8"/>
        <v>0</v>
      </c>
      <c r="AA10" s="284"/>
      <c r="AB10" s="112">
        <v>15</v>
      </c>
      <c r="AC10" s="113">
        <f t="shared" si="9"/>
        <v>0</v>
      </c>
      <c r="AD10" s="28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28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498"/>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28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498"/>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28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498"/>
      <c r="V13" s="95">
        <f>T13*$U$9</f>
        <v>1033.8</v>
      </c>
      <c r="W13" s="95">
        <f t="shared" si="19"/>
        <v>312.2</v>
      </c>
      <c r="X13" s="28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28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498"/>
      <c r="V14" s="95">
        <f t="shared" si="18"/>
        <v>528.9</v>
      </c>
      <c r="W14" s="95">
        <f t="shared" si="19"/>
        <v>159.69999999999999</v>
      </c>
      <c r="X14" s="28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28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498"/>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28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498"/>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28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498"/>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28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498"/>
      <c r="V18" s="96">
        <f t="shared" si="18"/>
        <v>1247.4000000000001</v>
      </c>
      <c r="W18" s="95">
        <f t="shared" si="19"/>
        <v>376.7</v>
      </c>
      <c r="X18" s="284">
        <v>1</v>
      </c>
      <c r="Y18" s="112">
        <v>30</v>
      </c>
      <c r="Z18" s="113">
        <f t="shared" si="8"/>
        <v>30</v>
      </c>
      <c r="AA18" s="284"/>
      <c r="AB18" s="112">
        <v>15</v>
      </c>
      <c r="AC18" s="113">
        <f t="shared" si="9"/>
        <v>0</v>
      </c>
      <c r="AD18" s="28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28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498"/>
      <c r="V19" s="96">
        <f t="shared" si="18"/>
        <v>240.1</v>
      </c>
      <c r="W19" s="95">
        <f t="shared" si="19"/>
        <v>72.5</v>
      </c>
      <c r="X19" s="284"/>
      <c r="Y19" s="112">
        <v>30</v>
      </c>
      <c r="Z19" s="113">
        <f t="shared" si="8"/>
        <v>0</v>
      </c>
      <c r="AA19" s="284"/>
      <c r="AB19" s="112">
        <v>15</v>
      </c>
      <c r="AC19" s="113">
        <f t="shared" si="9"/>
        <v>0</v>
      </c>
      <c r="AD19" s="28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28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498"/>
      <c r="V20" s="96">
        <f>T20*$U$9</f>
        <v>152.19999999999999</v>
      </c>
      <c r="W20" s="95">
        <f t="shared" si="19"/>
        <v>46</v>
      </c>
      <c r="X20" s="284"/>
      <c r="Y20" s="112">
        <v>30</v>
      </c>
      <c r="Z20" s="113">
        <f t="shared" si="8"/>
        <v>0</v>
      </c>
      <c r="AA20" s="284"/>
      <c r="AB20" s="112">
        <v>15</v>
      </c>
      <c r="AC20" s="113">
        <f t="shared" si="9"/>
        <v>0</v>
      </c>
      <c r="AD20" s="28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494" t="s">
        <v>8</v>
      </c>
      <c r="B21" s="494"/>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481" t="s">
        <v>140</v>
      </c>
      <c r="H26" s="481"/>
      <c r="I26" s="481" t="s">
        <v>141</v>
      </c>
      <c r="J26" s="481"/>
      <c r="K26" s="481" t="s">
        <v>128</v>
      </c>
      <c r="L26" s="481"/>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79">
        <v>991</v>
      </c>
      <c r="H27" s="279">
        <v>992</v>
      </c>
      <c r="I27" s="279">
        <v>991</v>
      </c>
      <c r="J27" s="279">
        <v>992</v>
      </c>
      <c r="K27" s="279">
        <v>991</v>
      </c>
      <c r="L27" s="279">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282"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 ref="AH6:AH7"/>
    <mergeCell ref="U9:U20"/>
    <mergeCell ref="A21:B21"/>
    <mergeCell ref="S6:S7"/>
    <mergeCell ref="T6:T7"/>
    <mergeCell ref="U6:U7"/>
    <mergeCell ref="V6:V7"/>
    <mergeCell ref="W6:W7"/>
    <mergeCell ref="X6:Z6"/>
    <mergeCell ref="L6:L7"/>
    <mergeCell ref="F6:F7"/>
    <mergeCell ref="G6:G7"/>
    <mergeCell ref="H6:H7"/>
    <mergeCell ref="I6:I7"/>
    <mergeCell ref="R6:R7"/>
    <mergeCell ref="G26:H26"/>
    <mergeCell ref="I26:J26"/>
    <mergeCell ref="K26:L26"/>
    <mergeCell ref="AA6:AC6"/>
    <mergeCell ref="J6:J7"/>
    <mergeCell ref="K6:K7"/>
  </mergeCells>
  <printOptions horizontalCentered="1"/>
  <pageMargins left="0" right="0" top="0" bottom="0" header="0.31496062992125984" footer="0.31496062992125984"/>
  <pageSetup paperSize="9" scale="38"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57"/>
  <sheetViews>
    <sheetView view="pageBreakPreview" zoomScale="80" zoomScaleNormal="80" zoomScaleSheetLayoutView="80" workbookViewId="0">
      <pane xSplit="3" ySplit="8" topLeftCell="V9" activePane="bottomRight" state="frozen"/>
      <selection activeCell="M26" sqref="M26"/>
      <selection pane="topRight" activeCell="M26" sqref="M26"/>
      <selection pane="bottomLeft" activeCell="M26" sqref="M26"/>
      <selection pane="bottomRight" activeCell="M26" sqref="M26:N26"/>
    </sheetView>
  </sheetViews>
  <sheetFormatPr defaultColWidth="9.33203125" defaultRowHeight="13.2" x14ac:dyDescent="0.25"/>
  <cols>
    <col min="1" max="1" width="6.77734375" style="33" customWidth="1"/>
    <col min="2" max="2" width="30.77734375" style="22" customWidth="1"/>
    <col min="3" max="3" width="13.77734375" style="22" customWidth="1"/>
    <col min="4" max="4" width="12.77734375" style="22" customWidth="1"/>
    <col min="5" max="5" width="13" style="22" customWidth="1"/>
    <col min="6" max="6" width="14.6640625" style="22" customWidth="1"/>
    <col min="7" max="7" width="12.33203125" style="22" customWidth="1"/>
    <col min="8" max="8" width="13.33203125" style="22" customWidth="1"/>
    <col min="9" max="9" width="15.77734375" style="22" customWidth="1"/>
    <col min="10" max="11" width="13.77734375" style="22" customWidth="1"/>
    <col min="12" max="12" width="13.33203125" style="22" customWidth="1"/>
    <col min="13" max="13" width="12.77734375" style="22" customWidth="1"/>
    <col min="14" max="14" width="11.44140625" style="22" customWidth="1"/>
    <col min="15" max="15" width="14.77734375" style="22" customWidth="1"/>
    <col min="16" max="16" width="15.33203125" style="22" customWidth="1"/>
    <col min="17" max="17" width="14.77734375" style="22" customWidth="1"/>
    <col min="18" max="18" width="13.6640625" style="22" customWidth="1"/>
    <col min="19" max="19" width="15.33203125" style="22" customWidth="1"/>
    <col min="20" max="20" width="12.33203125" style="22" customWidth="1"/>
    <col min="21" max="21" width="11.6640625" style="22" customWidth="1"/>
    <col min="22" max="22" width="13" style="22" customWidth="1"/>
    <col min="23" max="23" width="12.6640625" style="22" customWidth="1"/>
    <col min="24" max="24" width="13.33203125" style="22" customWidth="1"/>
    <col min="25" max="25" width="12.77734375" style="22" customWidth="1"/>
    <col min="26" max="26" width="13" style="22" customWidth="1"/>
    <col min="27" max="27" width="12.33203125" style="22" customWidth="1"/>
    <col min="28" max="28" width="11.33203125" style="22" customWidth="1"/>
    <col min="29" max="29" width="9.6640625" style="22" customWidth="1"/>
    <col min="30" max="30" width="11" style="22" customWidth="1"/>
    <col min="31" max="31" width="9.33203125" style="22" customWidth="1"/>
    <col min="32" max="32" width="9.77734375" style="22" customWidth="1"/>
    <col min="33" max="33" width="14" style="22" customWidth="1"/>
    <col min="34" max="34" width="12.33203125" style="22" customWidth="1"/>
    <col min="35" max="35" width="11.109375" style="34" customWidth="1"/>
    <col min="36" max="36" width="9.33203125" style="22"/>
    <col min="37" max="37" width="12.6640625" style="22" customWidth="1"/>
    <col min="38" max="38" width="11.6640625" style="22" hidden="1" customWidth="1"/>
    <col min="39" max="39" width="13.6640625" style="22" hidden="1" customWidth="1"/>
    <col min="40" max="42" width="9.33203125" style="22"/>
    <col min="43" max="43" width="14" style="22" bestFit="1" customWidth="1"/>
    <col min="44" max="16384" width="9.33203125" style="22"/>
  </cols>
  <sheetData>
    <row r="1" spans="1:45" ht="12.75" customHeight="1" x14ac:dyDescent="0.25">
      <c r="AE1" s="499"/>
      <c r="AF1" s="499"/>
      <c r="AG1" s="499"/>
      <c r="AH1" s="499"/>
    </row>
    <row r="2" spans="1:45" ht="24" customHeight="1" x14ac:dyDescent="0.25">
      <c r="A2" s="489" t="s">
        <v>157</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5"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283"/>
    </row>
    <row r="4" spans="1:45" x14ac:dyDescent="0.25">
      <c r="L4" s="38">
        <v>0.34311000000000003</v>
      </c>
    </row>
    <row r="5" spans="1:45" ht="38.25" customHeight="1" x14ac:dyDescent="0.25">
      <c r="A5" s="502" t="s">
        <v>78</v>
      </c>
      <c r="B5" s="502"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5" ht="60" customHeight="1" x14ac:dyDescent="0.25">
      <c r="A6" s="502"/>
      <c r="B6" s="502"/>
      <c r="C6" s="479"/>
      <c r="D6" s="478" t="s">
        <v>68</v>
      </c>
      <c r="E6" s="478" t="s">
        <v>69</v>
      </c>
      <c r="F6" s="478" t="s">
        <v>89</v>
      </c>
      <c r="G6" s="478" t="s">
        <v>1</v>
      </c>
      <c r="H6" s="478" t="s">
        <v>2</v>
      </c>
      <c r="I6" s="478" t="s">
        <v>70</v>
      </c>
      <c r="J6" s="478" t="s">
        <v>61</v>
      </c>
      <c r="K6" s="478" t="s">
        <v>27</v>
      </c>
      <c r="L6" s="694" t="s">
        <v>65</v>
      </c>
      <c r="M6" s="694" t="s">
        <v>86</v>
      </c>
      <c r="N6" s="699" t="s">
        <v>91</v>
      </c>
      <c r="O6" s="699"/>
      <c r="P6" s="699" t="s">
        <v>88</v>
      </c>
      <c r="Q6" s="694" t="s">
        <v>82</v>
      </c>
      <c r="R6" s="478" t="s">
        <v>83</v>
      </c>
      <c r="S6" s="694"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5" ht="107.25" customHeight="1" x14ac:dyDescent="0.25">
      <c r="A7" s="502"/>
      <c r="B7" s="502"/>
      <c r="C7" s="479"/>
      <c r="D7" s="478"/>
      <c r="E7" s="478"/>
      <c r="F7" s="478"/>
      <c r="G7" s="478"/>
      <c r="H7" s="478"/>
      <c r="I7" s="478"/>
      <c r="J7" s="478"/>
      <c r="K7" s="478"/>
      <c r="L7" s="694" t="s">
        <v>66</v>
      </c>
      <c r="M7" s="694"/>
      <c r="N7" s="288" t="s">
        <v>80</v>
      </c>
      <c r="O7" s="288" t="s">
        <v>81</v>
      </c>
      <c r="P7" s="699"/>
      <c r="Q7" s="694"/>
      <c r="R7" s="478"/>
      <c r="S7" s="694" t="s">
        <v>67</v>
      </c>
      <c r="T7" s="478"/>
      <c r="U7" s="478"/>
      <c r="V7" s="478"/>
      <c r="W7" s="478"/>
      <c r="X7" s="280" t="s">
        <v>5</v>
      </c>
      <c r="Y7" s="280" t="s">
        <v>6</v>
      </c>
      <c r="Z7" s="280" t="s">
        <v>74</v>
      </c>
      <c r="AA7" s="280" t="s">
        <v>5</v>
      </c>
      <c r="AB7" s="280" t="s">
        <v>6</v>
      </c>
      <c r="AC7" s="280" t="s">
        <v>75</v>
      </c>
      <c r="AD7" s="280" t="s">
        <v>5</v>
      </c>
      <c r="AE7" s="280" t="s">
        <v>6</v>
      </c>
      <c r="AF7" s="280" t="s">
        <v>76</v>
      </c>
      <c r="AG7" s="479"/>
      <c r="AH7" s="479"/>
      <c r="AK7" s="22" t="s">
        <v>64</v>
      </c>
      <c r="AL7" s="22" t="s">
        <v>62</v>
      </c>
      <c r="AM7" s="165"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43" t="s">
        <v>116</v>
      </c>
      <c r="AO8" s="43" t="s">
        <v>117</v>
      </c>
      <c r="AP8" s="43" t="s">
        <v>118</v>
      </c>
      <c r="AQ8" s="43" t="s">
        <v>119</v>
      </c>
    </row>
    <row r="9" spans="1:45" ht="16.5" customHeight="1" x14ac:dyDescent="0.25">
      <c r="A9" s="278">
        <v>1</v>
      </c>
      <c r="B9" s="166" t="s">
        <v>14</v>
      </c>
      <c r="C9" s="167">
        <v>1</v>
      </c>
      <c r="D9" s="168">
        <v>22.876999999999999</v>
      </c>
      <c r="E9" s="169">
        <f>C9*D9</f>
        <v>22.88</v>
      </c>
      <c r="F9" s="170">
        <f>E9*12</f>
        <v>274.60000000000002</v>
      </c>
      <c r="G9" s="154"/>
      <c r="H9" s="154"/>
      <c r="I9" s="154"/>
      <c r="J9" s="154"/>
      <c r="K9" s="154">
        <f>F9*0.4</f>
        <v>109.8</v>
      </c>
      <c r="L9" s="154">
        <f>F9*$L$4</f>
        <v>94.2</v>
      </c>
      <c r="M9" s="154">
        <f>F9+G9+H9+I9+J9+K9+L9</f>
        <v>478.6</v>
      </c>
      <c r="N9" s="171">
        <v>0.47</v>
      </c>
      <c r="O9" s="154">
        <f>M9*N9</f>
        <v>224.9</v>
      </c>
      <c r="P9" s="154">
        <f>M9+O9</f>
        <v>703.5</v>
      </c>
      <c r="Q9" s="154">
        <f>P9*0.8</f>
        <v>562.79999999999995</v>
      </c>
      <c r="R9" s="154">
        <f>P9*0.8</f>
        <v>562.79999999999995</v>
      </c>
      <c r="S9" s="154">
        <f>(P9+Q9+R9)*0.032</f>
        <v>58.5</v>
      </c>
      <c r="T9" s="154">
        <f>P9+Q9+R9+S9</f>
        <v>1887.6</v>
      </c>
      <c r="U9" s="695">
        <v>1</v>
      </c>
      <c r="V9" s="155">
        <f t="shared" ref="V9:V21" si="0">T9*$U$9</f>
        <v>1887.6</v>
      </c>
      <c r="W9" s="155">
        <f>AQ9</f>
        <v>451.9</v>
      </c>
      <c r="X9" s="278"/>
      <c r="Y9" s="24">
        <v>30</v>
      </c>
      <c r="Z9" s="48">
        <f t="shared" ref="Z9:Z22" si="1">X9*Y9</f>
        <v>0</v>
      </c>
      <c r="AA9" s="278"/>
      <c r="AB9" s="24">
        <v>15</v>
      </c>
      <c r="AC9" s="48">
        <f t="shared" ref="AC9:AC22" si="2">AA9*AB9</f>
        <v>0</v>
      </c>
      <c r="AD9" s="278"/>
      <c r="AE9" s="24">
        <v>30</v>
      </c>
      <c r="AF9" s="48">
        <f t="shared" ref="AF9:AF22" si="3">AD9*AE9</f>
        <v>0</v>
      </c>
      <c r="AG9" s="48">
        <f t="shared" ref="AG9:AG22" si="4">(Z9+AC9+AF9)*1%*30</f>
        <v>0</v>
      </c>
      <c r="AH9" s="48">
        <f t="shared" ref="AH9:AH22" si="5">Z9+AC9+AF9+AG9</f>
        <v>0</v>
      </c>
      <c r="AI9" s="34">
        <f t="shared" ref="AI9:AI22" si="6">V9/12/C9*1000</f>
        <v>157300</v>
      </c>
      <c r="AJ9" s="34"/>
      <c r="AK9" s="34">
        <f t="shared" ref="AK9:AK22" si="7">V9/C9</f>
        <v>1887.6</v>
      </c>
      <c r="AL9" s="34">
        <f>((979*0.302)+((AK9-979)*0.182))</f>
        <v>461</v>
      </c>
      <c r="AM9" s="51">
        <f>AL9/AK9</f>
        <v>0.24399999999999999</v>
      </c>
      <c r="AN9" s="116">
        <f>1150*0.22*C9+(V9-1150*C9)*0.1</f>
        <v>326.8</v>
      </c>
      <c r="AO9" s="116">
        <f>865*0.029*C9</f>
        <v>25.1</v>
      </c>
      <c r="AP9" s="116">
        <f>AK9*0.053</f>
        <v>100</v>
      </c>
      <c r="AQ9" s="116">
        <f>SUM(AN9:AP9)</f>
        <v>451.9</v>
      </c>
      <c r="AS9" s="51">
        <f t="shared" ref="AS9:AS22" si="8">D9*1.5</f>
        <v>34.316000000000003</v>
      </c>
    </row>
    <row r="10" spans="1:45" ht="13.8" x14ac:dyDescent="0.25">
      <c r="A10" s="278">
        <v>2</v>
      </c>
      <c r="B10" s="166" t="s">
        <v>125</v>
      </c>
      <c r="C10" s="167">
        <v>2</v>
      </c>
      <c r="D10" s="168">
        <v>16.013999999999999</v>
      </c>
      <c r="E10" s="169">
        <f>C10*D10</f>
        <v>32.03</v>
      </c>
      <c r="F10" s="170">
        <f t="shared" ref="F10:F22" si="9">E10*12</f>
        <v>384.4</v>
      </c>
      <c r="G10" s="154"/>
      <c r="H10" s="154"/>
      <c r="I10" s="154">
        <f>D10*0.25*12</f>
        <v>48</v>
      </c>
      <c r="J10" s="154"/>
      <c r="K10" s="154">
        <f>D10*0.25*12+D10*0.4*12+D10*0.05*4</f>
        <v>128.1</v>
      </c>
      <c r="L10" s="154">
        <f t="shared" ref="L10:L21" si="10">F10*$L$4</f>
        <v>131.9</v>
      </c>
      <c r="M10" s="154">
        <f t="shared" ref="M10:M22" si="11">F10+G10+H10+I10+J10+K10+L10</f>
        <v>692.4</v>
      </c>
      <c r="N10" s="171">
        <v>0.47</v>
      </c>
      <c r="O10" s="154">
        <f t="shared" ref="O10:O22" si="12">M10*N10</f>
        <v>325.39999999999998</v>
      </c>
      <c r="P10" s="154">
        <f t="shared" ref="P10:P22" si="13">M10+O10</f>
        <v>1017.8</v>
      </c>
      <c r="Q10" s="154">
        <f t="shared" ref="Q10:Q22" si="14">P10*0.8</f>
        <v>814.2</v>
      </c>
      <c r="R10" s="154">
        <f t="shared" ref="R10:R22" si="15">P10*0.8</f>
        <v>814.2</v>
      </c>
      <c r="S10" s="154">
        <f t="shared" ref="S10:S22" si="16">(P10+Q10+R10)*0.032</f>
        <v>84.7</v>
      </c>
      <c r="T10" s="154">
        <f t="shared" ref="T10:T22" si="17">P10+Q10+R10+S10</f>
        <v>2730.9</v>
      </c>
      <c r="U10" s="696"/>
      <c r="V10" s="155">
        <f t="shared" si="0"/>
        <v>2730.9</v>
      </c>
      <c r="W10" s="155">
        <f>AQ10</f>
        <v>744</v>
      </c>
      <c r="X10" s="278"/>
      <c r="Y10" s="24">
        <v>30</v>
      </c>
      <c r="Z10" s="48">
        <f t="shared" si="1"/>
        <v>0</v>
      </c>
      <c r="AA10" s="278">
        <v>1</v>
      </c>
      <c r="AB10" s="24">
        <v>15</v>
      </c>
      <c r="AC10" s="48">
        <f t="shared" si="2"/>
        <v>15</v>
      </c>
      <c r="AD10" s="278"/>
      <c r="AE10" s="24">
        <v>30</v>
      </c>
      <c r="AF10" s="48">
        <f t="shared" si="3"/>
        <v>0</v>
      </c>
      <c r="AG10" s="48">
        <f t="shared" si="4"/>
        <v>4.5</v>
      </c>
      <c r="AH10" s="48">
        <f t="shared" si="5"/>
        <v>19.5</v>
      </c>
      <c r="AI10" s="34">
        <f t="shared" si="6"/>
        <v>113787.5</v>
      </c>
      <c r="AJ10" s="34"/>
      <c r="AK10" s="34">
        <f t="shared" si="7"/>
        <v>1365.5</v>
      </c>
      <c r="AL10" s="34">
        <f t="shared" ref="AL10:AL22" si="18">((979*0.302)+((AK10-979)*0.182))</f>
        <v>366</v>
      </c>
      <c r="AM10" s="51">
        <f>AL10/AK10</f>
        <v>0.26800000000000002</v>
      </c>
      <c r="AN10" s="116">
        <f>1150*0.22*C10+(V10-1150*C10)*0.1</f>
        <v>549.1</v>
      </c>
      <c r="AO10" s="116">
        <f>865*0.029*C10</f>
        <v>50.2</v>
      </c>
      <c r="AP10" s="116">
        <f>AK10*0.053*2</f>
        <v>144.69999999999999</v>
      </c>
      <c r="AQ10" s="116">
        <f>SUM(AN10:AP10)</f>
        <v>744</v>
      </c>
      <c r="AS10" s="51">
        <f t="shared" si="8"/>
        <v>24.021000000000001</v>
      </c>
    </row>
    <row r="11" spans="1:45" ht="13.8" x14ac:dyDescent="0.25">
      <c r="A11" s="278">
        <v>3</v>
      </c>
      <c r="B11" s="106" t="s">
        <v>33</v>
      </c>
      <c r="C11" s="172">
        <v>1</v>
      </c>
      <c r="D11" s="173">
        <v>8.4730000000000008</v>
      </c>
      <c r="E11" s="171">
        <f t="shared" ref="E11:E22" si="19">C11*D11</f>
        <v>8.4700000000000006</v>
      </c>
      <c r="F11" s="154">
        <f t="shared" si="9"/>
        <v>101.6</v>
      </c>
      <c r="G11" s="154"/>
      <c r="H11" s="154"/>
      <c r="I11" s="154"/>
      <c r="J11" s="154"/>
      <c r="K11" s="154">
        <f>D11*0.2*5</f>
        <v>8.5</v>
      </c>
      <c r="L11" s="154">
        <f t="shared" si="10"/>
        <v>34.9</v>
      </c>
      <c r="M11" s="154">
        <f t="shared" si="11"/>
        <v>145</v>
      </c>
      <c r="N11" s="171">
        <v>0.41</v>
      </c>
      <c r="O11" s="154">
        <f t="shared" si="12"/>
        <v>59.5</v>
      </c>
      <c r="P11" s="154">
        <f t="shared" si="13"/>
        <v>204.5</v>
      </c>
      <c r="Q11" s="154">
        <f t="shared" si="14"/>
        <v>163.6</v>
      </c>
      <c r="R11" s="154">
        <f t="shared" si="15"/>
        <v>163.6</v>
      </c>
      <c r="S11" s="154">
        <f t="shared" si="16"/>
        <v>17</v>
      </c>
      <c r="T11" s="154">
        <f t="shared" si="17"/>
        <v>548.70000000000005</v>
      </c>
      <c r="U11" s="696"/>
      <c r="V11" s="155">
        <f t="shared" si="0"/>
        <v>548.70000000000005</v>
      </c>
      <c r="W11" s="155">
        <f>V11*0.302</f>
        <v>165.7</v>
      </c>
      <c r="X11" s="162"/>
      <c r="Y11" s="163">
        <v>30</v>
      </c>
      <c r="Z11" s="164">
        <f t="shared" si="1"/>
        <v>0</v>
      </c>
      <c r="AA11" s="162"/>
      <c r="AB11" s="163">
        <v>15</v>
      </c>
      <c r="AC11" s="164">
        <f t="shared" si="2"/>
        <v>0</v>
      </c>
      <c r="AD11" s="162"/>
      <c r="AE11" s="163">
        <v>30</v>
      </c>
      <c r="AF11" s="164">
        <f t="shared" si="3"/>
        <v>0</v>
      </c>
      <c r="AG11" s="164">
        <f t="shared" si="4"/>
        <v>0</v>
      </c>
      <c r="AH11" s="164">
        <f t="shared" si="5"/>
        <v>0</v>
      </c>
      <c r="AI11" s="34">
        <f t="shared" si="6"/>
        <v>45725</v>
      </c>
      <c r="AJ11" s="34"/>
      <c r="AK11" s="34">
        <f t="shared" si="7"/>
        <v>548.70000000000005</v>
      </c>
      <c r="AL11" s="34">
        <f t="shared" si="18"/>
        <v>217.3</v>
      </c>
      <c r="AM11" s="51">
        <v>0.30199999999999999</v>
      </c>
      <c r="AO11" s="116"/>
      <c r="AP11" s="116"/>
      <c r="AQ11" s="116"/>
      <c r="AS11" s="51">
        <f t="shared" si="8"/>
        <v>12.71</v>
      </c>
    </row>
    <row r="12" spans="1:45" ht="13.8" x14ac:dyDescent="0.25">
      <c r="A12" s="278">
        <v>4</v>
      </c>
      <c r="B12" s="106" t="s">
        <v>105</v>
      </c>
      <c r="C12" s="172">
        <v>2</v>
      </c>
      <c r="D12" s="173">
        <v>8.4730000000000008</v>
      </c>
      <c r="E12" s="171">
        <f t="shared" si="19"/>
        <v>16.95</v>
      </c>
      <c r="F12" s="154">
        <f t="shared" si="9"/>
        <v>203.4</v>
      </c>
      <c r="G12" s="154"/>
      <c r="H12" s="154"/>
      <c r="I12" s="154"/>
      <c r="J12" s="154"/>
      <c r="K12" s="154">
        <f>F12*0.35</f>
        <v>71.2</v>
      </c>
      <c r="L12" s="154">
        <f t="shared" si="10"/>
        <v>69.8</v>
      </c>
      <c r="M12" s="154">
        <f t="shared" si="11"/>
        <v>344.4</v>
      </c>
      <c r="N12" s="171">
        <v>0.41</v>
      </c>
      <c r="O12" s="154">
        <f t="shared" si="12"/>
        <v>141.19999999999999</v>
      </c>
      <c r="P12" s="154">
        <f t="shared" si="13"/>
        <v>485.6</v>
      </c>
      <c r="Q12" s="154">
        <f t="shared" si="14"/>
        <v>388.5</v>
      </c>
      <c r="R12" s="154">
        <f t="shared" si="15"/>
        <v>388.5</v>
      </c>
      <c r="S12" s="154">
        <f t="shared" si="16"/>
        <v>40.4</v>
      </c>
      <c r="T12" s="154">
        <f t="shared" si="17"/>
        <v>1303</v>
      </c>
      <c r="U12" s="696"/>
      <c r="V12" s="155">
        <f t="shared" si="0"/>
        <v>1303</v>
      </c>
      <c r="W12" s="155">
        <f t="shared" ref="W12:W22" si="20">V12*0.302</f>
        <v>393.5</v>
      </c>
      <c r="X12" s="162">
        <v>2</v>
      </c>
      <c r="Y12" s="163">
        <v>30</v>
      </c>
      <c r="Z12" s="164">
        <f t="shared" si="1"/>
        <v>60</v>
      </c>
      <c r="AA12" s="162"/>
      <c r="AB12" s="163">
        <v>15</v>
      </c>
      <c r="AC12" s="164">
        <f t="shared" si="2"/>
        <v>0</v>
      </c>
      <c r="AD12" s="162"/>
      <c r="AE12" s="163">
        <v>30</v>
      </c>
      <c r="AF12" s="164">
        <f t="shared" si="3"/>
        <v>0</v>
      </c>
      <c r="AG12" s="164">
        <f t="shared" si="4"/>
        <v>18</v>
      </c>
      <c r="AH12" s="164">
        <f t="shared" si="5"/>
        <v>78</v>
      </c>
      <c r="AI12" s="34">
        <f t="shared" si="6"/>
        <v>54291.7</v>
      </c>
      <c r="AJ12" s="34"/>
      <c r="AK12" s="34">
        <f t="shared" si="7"/>
        <v>651.5</v>
      </c>
      <c r="AL12" s="34">
        <f t="shared" si="18"/>
        <v>236.1</v>
      </c>
      <c r="AM12" s="51">
        <v>0.30199999999999999</v>
      </c>
      <c r="AQ12" s="116"/>
      <c r="AS12" s="51">
        <f t="shared" si="8"/>
        <v>12.71</v>
      </c>
    </row>
    <row r="13" spans="1:45" ht="13.8" x14ac:dyDescent="0.25">
      <c r="A13" s="278">
        <v>5</v>
      </c>
      <c r="B13" s="166" t="s">
        <v>15</v>
      </c>
      <c r="C13" s="174">
        <v>6</v>
      </c>
      <c r="D13" s="175">
        <v>11.061999999999999</v>
      </c>
      <c r="E13" s="171">
        <f t="shared" si="19"/>
        <v>66.37</v>
      </c>
      <c r="F13" s="154">
        <f t="shared" si="9"/>
        <v>796.4</v>
      </c>
      <c r="G13" s="154"/>
      <c r="H13" s="154"/>
      <c r="I13" s="154"/>
      <c r="J13" s="154"/>
      <c r="K13" s="154">
        <f>D13*0.2*12+D13*0.3*12+D13*0.35*12+D13*0.4*3*12</f>
        <v>272.10000000000002</v>
      </c>
      <c r="L13" s="154">
        <f t="shared" si="10"/>
        <v>273.3</v>
      </c>
      <c r="M13" s="154">
        <f t="shared" si="11"/>
        <v>1341.8</v>
      </c>
      <c r="N13" s="171">
        <v>0.43</v>
      </c>
      <c r="O13" s="154">
        <f t="shared" si="12"/>
        <v>577</v>
      </c>
      <c r="P13" s="154">
        <f t="shared" si="13"/>
        <v>1918.8</v>
      </c>
      <c r="Q13" s="154">
        <f t="shared" si="14"/>
        <v>1535</v>
      </c>
      <c r="R13" s="154">
        <f t="shared" si="15"/>
        <v>1535</v>
      </c>
      <c r="S13" s="154">
        <f t="shared" si="16"/>
        <v>159.6</v>
      </c>
      <c r="T13" s="154">
        <f t="shared" si="17"/>
        <v>5148.3999999999996</v>
      </c>
      <c r="U13" s="696"/>
      <c r="V13" s="155">
        <f t="shared" si="0"/>
        <v>5148.3999999999996</v>
      </c>
      <c r="W13" s="155">
        <f t="shared" si="20"/>
        <v>1554.8</v>
      </c>
      <c r="X13" s="162">
        <v>5</v>
      </c>
      <c r="Y13" s="163">
        <v>30</v>
      </c>
      <c r="Z13" s="164">
        <f t="shared" si="1"/>
        <v>150</v>
      </c>
      <c r="AA13" s="162">
        <v>2</v>
      </c>
      <c r="AB13" s="163">
        <v>15</v>
      </c>
      <c r="AC13" s="164">
        <f t="shared" si="2"/>
        <v>30</v>
      </c>
      <c r="AD13" s="162"/>
      <c r="AE13" s="163">
        <v>30</v>
      </c>
      <c r="AF13" s="164">
        <f t="shared" si="3"/>
        <v>0</v>
      </c>
      <c r="AG13" s="164">
        <f t="shared" si="4"/>
        <v>54</v>
      </c>
      <c r="AH13" s="164">
        <f t="shared" si="5"/>
        <v>234</v>
      </c>
      <c r="AI13" s="34">
        <f t="shared" si="6"/>
        <v>71505.600000000006</v>
      </c>
      <c r="AJ13" s="34"/>
      <c r="AK13" s="34">
        <f t="shared" si="7"/>
        <v>858.1</v>
      </c>
      <c r="AL13" s="34">
        <f t="shared" si="18"/>
        <v>273.7</v>
      </c>
      <c r="AM13" s="51">
        <v>0.30199999999999999</v>
      </c>
      <c r="AO13" s="116"/>
      <c r="AP13" s="116"/>
      <c r="AQ13" s="116"/>
      <c r="AS13" s="51">
        <f t="shared" si="8"/>
        <v>16.593</v>
      </c>
    </row>
    <row r="14" spans="1:45" x14ac:dyDescent="0.25">
      <c r="A14" s="278">
        <v>6</v>
      </c>
      <c r="B14" s="166" t="s">
        <v>16</v>
      </c>
      <c r="C14" s="174">
        <v>17</v>
      </c>
      <c r="D14" s="175">
        <v>11.061999999999999</v>
      </c>
      <c r="E14" s="171">
        <f t="shared" si="19"/>
        <v>188.05</v>
      </c>
      <c r="F14" s="154">
        <f t="shared" si="9"/>
        <v>2256.6</v>
      </c>
      <c r="G14" s="154"/>
      <c r="H14" s="154"/>
      <c r="I14" s="154"/>
      <c r="J14" s="154"/>
      <c r="K14" s="154">
        <f>D14*0.3*12+D14*0.4*12</f>
        <v>92.9</v>
      </c>
      <c r="L14" s="154">
        <f t="shared" si="10"/>
        <v>774.3</v>
      </c>
      <c r="M14" s="154">
        <f t="shared" si="11"/>
        <v>3123.8</v>
      </c>
      <c r="N14" s="171">
        <v>0.43</v>
      </c>
      <c r="O14" s="154">
        <f t="shared" si="12"/>
        <v>1343.2</v>
      </c>
      <c r="P14" s="154">
        <f t="shared" si="13"/>
        <v>4467</v>
      </c>
      <c r="Q14" s="154">
        <f t="shared" si="14"/>
        <v>3573.6</v>
      </c>
      <c r="R14" s="154">
        <f t="shared" si="15"/>
        <v>3573.6</v>
      </c>
      <c r="S14" s="154">
        <f t="shared" si="16"/>
        <v>371.7</v>
      </c>
      <c r="T14" s="154">
        <f t="shared" si="17"/>
        <v>11985.9</v>
      </c>
      <c r="U14" s="696"/>
      <c r="V14" s="155">
        <f t="shared" si="0"/>
        <v>11985.9</v>
      </c>
      <c r="W14" s="155">
        <f t="shared" si="20"/>
        <v>3619.7</v>
      </c>
      <c r="X14" s="162">
        <v>10</v>
      </c>
      <c r="Y14" s="163">
        <v>30</v>
      </c>
      <c r="Z14" s="164">
        <f t="shared" si="1"/>
        <v>300</v>
      </c>
      <c r="AA14" s="162">
        <v>3</v>
      </c>
      <c r="AB14" s="163">
        <v>15</v>
      </c>
      <c r="AC14" s="164">
        <f t="shared" si="2"/>
        <v>45</v>
      </c>
      <c r="AD14" s="162">
        <v>3</v>
      </c>
      <c r="AE14" s="163">
        <v>30</v>
      </c>
      <c r="AF14" s="164">
        <f t="shared" si="3"/>
        <v>90</v>
      </c>
      <c r="AG14" s="164">
        <f t="shared" si="4"/>
        <v>130.5</v>
      </c>
      <c r="AH14" s="164">
        <f t="shared" si="5"/>
        <v>565.5</v>
      </c>
      <c r="AI14" s="34">
        <f t="shared" si="6"/>
        <v>58754.400000000001</v>
      </c>
      <c r="AJ14" s="34"/>
      <c r="AK14" s="34">
        <f t="shared" si="7"/>
        <v>705.1</v>
      </c>
      <c r="AL14" s="34">
        <f t="shared" si="18"/>
        <v>245.8</v>
      </c>
      <c r="AM14" s="51">
        <v>0.30199999999999999</v>
      </c>
      <c r="AS14" s="51">
        <f t="shared" si="8"/>
        <v>16.593</v>
      </c>
    </row>
    <row r="15" spans="1:45" ht="13.8" x14ac:dyDescent="0.25">
      <c r="A15" s="278">
        <v>7</v>
      </c>
      <c r="B15" s="176" t="s">
        <v>36</v>
      </c>
      <c r="C15" s="167">
        <f>69.5-0.5</f>
        <v>69</v>
      </c>
      <c r="D15" s="177">
        <v>8.4730000000000008</v>
      </c>
      <c r="E15" s="171">
        <f>C15*D15</f>
        <v>584.64</v>
      </c>
      <c r="F15" s="154">
        <f t="shared" si="9"/>
        <v>7015.7</v>
      </c>
      <c r="G15" s="154"/>
      <c r="H15" s="154"/>
      <c r="I15" s="154"/>
      <c r="J15" s="154">
        <f>D15*5.05*12</f>
        <v>513.5</v>
      </c>
      <c r="K15" s="154">
        <f>D15*0.2*12+D15*0.05*4+D15*0.25*8+D15*0.05*16+D15*0.3*11+D15*0.05*31+D15*0.35*12+D15*0.4*12*12</f>
        <v>610.5</v>
      </c>
      <c r="L15" s="154">
        <f t="shared" si="10"/>
        <v>2407.1999999999998</v>
      </c>
      <c r="M15" s="154">
        <f t="shared" si="11"/>
        <v>10546.9</v>
      </c>
      <c r="N15" s="171">
        <v>0.41</v>
      </c>
      <c r="O15" s="154">
        <f t="shared" si="12"/>
        <v>4324.2</v>
      </c>
      <c r="P15" s="154">
        <f t="shared" si="13"/>
        <v>14871.1</v>
      </c>
      <c r="Q15" s="154">
        <f t="shared" si="14"/>
        <v>11896.9</v>
      </c>
      <c r="R15" s="154">
        <f t="shared" si="15"/>
        <v>11896.9</v>
      </c>
      <c r="S15" s="154">
        <f t="shared" si="16"/>
        <v>1237.3</v>
      </c>
      <c r="T15" s="154">
        <f t="shared" si="17"/>
        <v>39902.199999999997</v>
      </c>
      <c r="U15" s="696"/>
      <c r="V15" s="155">
        <f>T15*$U$9</f>
        <v>39902.199999999997</v>
      </c>
      <c r="W15" s="155">
        <f t="shared" si="20"/>
        <v>12050.5</v>
      </c>
      <c r="X15" s="278">
        <v>41</v>
      </c>
      <c r="Y15" s="24">
        <v>30</v>
      </c>
      <c r="Z15" s="48">
        <f t="shared" si="1"/>
        <v>1230</v>
      </c>
      <c r="AA15" s="54">
        <v>15</v>
      </c>
      <c r="AB15" s="24">
        <v>15</v>
      </c>
      <c r="AC15" s="48">
        <f t="shared" si="2"/>
        <v>225</v>
      </c>
      <c r="AD15" s="54">
        <v>12</v>
      </c>
      <c r="AE15" s="24">
        <v>30</v>
      </c>
      <c r="AF15" s="48">
        <f t="shared" si="3"/>
        <v>360</v>
      </c>
      <c r="AG15" s="48">
        <f t="shared" si="4"/>
        <v>544.5</v>
      </c>
      <c r="AH15" s="48">
        <f t="shared" si="5"/>
        <v>2359.5</v>
      </c>
      <c r="AI15" s="34">
        <f t="shared" si="6"/>
        <v>48191.1</v>
      </c>
      <c r="AJ15" s="34"/>
      <c r="AK15" s="34">
        <f t="shared" si="7"/>
        <v>578.29999999999995</v>
      </c>
      <c r="AL15" s="34">
        <f t="shared" si="18"/>
        <v>222.7</v>
      </c>
      <c r="AM15" s="51">
        <v>0.30199999999999999</v>
      </c>
      <c r="AO15" s="116"/>
      <c r="AP15" s="116"/>
      <c r="AQ15" s="116"/>
      <c r="AS15" s="51">
        <f t="shared" si="8"/>
        <v>12.71</v>
      </c>
    </row>
    <row r="16" spans="1:45" ht="13.8" x14ac:dyDescent="0.25">
      <c r="A16" s="278">
        <v>8</v>
      </c>
      <c r="B16" s="176" t="s">
        <v>37</v>
      </c>
      <c r="C16" s="167">
        <v>6</v>
      </c>
      <c r="D16" s="177">
        <v>8.4730000000000008</v>
      </c>
      <c r="E16" s="171">
        <f>C16*D16</f>
        <v>50.84</v>
      </c>
      <c r="F16" s="154">
        <f t="shared" si="9"/>
        <v>610.1</v>
      </c>
      <c r="G16" s="154"/>
      <c r="H16" s="154"/>
      <c r="I16" s="154"/>
      <c r="J16" s="154">
        <f>D16*0.2*12</f>
        <v>20.3</v>
      </c>
      <c r="K16" s="154">
        <f>D16*0.4*12</f>
        <v>40.700000000000003</v>
      </c>
      <c r="L16" s="154">
        <f t="shared" si="10"/>
        <v>209.3</v>
      </c>
      <c r="M16" s="154">
        <f t="shared" si="11"/>
        <v>880.4</v>
      </c>
      <c r="N16" s="171">
        <v>0.41</v>
      </c>
      <c r="O16" s="154">
        <f t="shared" si="12"/>
        <v>361</v>
      </c>
      <c r="P16" s="154">
        <f t="shared" si="13"/>
        <v>1241.4000000000001</v>
      </c>
      <c r="Q16" s="154">
        <f t="shared" si="14"/>
        <v>993.1</v>
      </c>
      <c r="R16" s="154">
        <f t="shared" si="15"/>
        <v>993.1</v>
      </c>
      <c r="S16" s="154">
        <f t="shared" si="16"/>
        <v>103.3</v>
      </c>
      <c r="T16" s="154">
        <f t="shared" si="17"/>
        <v>3330.9</v>
      </c>
      <c r="U16" s="696"/>
      <c r="V16" s="155">
        <f t="shared" si="0"/>
        <v>3330.9</v>
      </c>
      <c r="W16" s="155">
        <f t="shared" si="20"/>
        <v>1005.9</v>
      </c>
      <c r="X16" s="278"/>
      <c r="Y16" s="24">
        <v>30</v>
      </c>
      <c r="Z16" s="48">
        <f t="shared" si="1"/>
        <v>0</v>
      </c>
      <c r="AA16" s="54"/>
      <c r="AB16" s="24">
        <v>15</v>
      </c>
      <c r="AC16" s="48">
        <f t="shared" si="2"/>
        <v>0</v>
      </c>
      <c r="AD16" s="54"/>
      <c r="AE16" s="24">
        <v>30</v>
      </c>
      <c r="AF16" s="48">
        <f t="shared" si="3"/>
        <v>0</v>
      </c>
      <c r="AG16" s="48">
        <f t="shared" si="4"/>
        <v>0</v>
      </c>
      <c r="AH16" s="48">
        <f t="shared" si="5"/>
        <v>0</v>
      </c>
      <c r="AI16" s="34">
        <f t="shared" si="6"/>
        <v>46262.5</v>
      </c>
      <c r="AJ16" s="34"/>
      <c r="AK16" s="34">
        <f t="shared" si="7"/>
        <v>555.20000000000005</v>
      </c>
      <c r="AL16" s="34">
        <f t="shared" si="18"/>
        <v>218.5</v>
      </c>
      <c r="AM16" s="51">
        <v>0.30199999999999999</v>
      </c>
      <c r="AN16" s="116"/>
      <c r="AO16" s="116"/>
      <c r="AP16" s="116"/>
      <c r="AQ16" s="116"/>
      <c r="AS16" s="51">
        <f t="shared" si="8"/>
        <v>12.71</v>
      </c>
    </row>
    <row r="17" spans="1:45" x14ac:dyDescent="0.25">
      <c r="A17" s="278">
        <v>9</v>
      </c>
      <c r="B17" s="176" t="s">
        <v>19</v>
      </c>
      <c r="C17" s="167">
        <v>5</v>
      </c>
      <c r="D17" s="177">
        <v>8.4730000000000008</v>
      </c>
      <c r="E17" s="171">
        <f>C17*D17</f>
        <v>42.37</v>
      </c>
      <c r="F17" s="154">
        <f t="shared" si="9"/>
        <v>508.4</v>
      </c>
      <c r="G17" s="154"/>
      <c r="H17" s="154"/>
      <c r="I17" s="154"/>
      <c r="J17" s="154">
        <f>D17*1.25*12</f>
        <v>127.1</v>
      </c>
      <c r="K17" s="154">
        <f>D17*0.3*12+D17*0.35*2*12+D17*0.05*11+D17*0.4*2</f>
        <v>113.1</v>
      </c>
      <c r="L17" s="154">
        <f t="shared" si="10"/>
        <v>174.4</v>
      </c>
      <c r="M17" s="154">
        <f t="shared" si="11"/>
        <v>923</v>
      </c>
      <c r="N17" s="171">
        <v>0.41</v>
      </c>
      <c r="O17" s="154">
        <f t="shared" si="12"/>
        <v>378.4</v>
      </c>
      <c r="P17" s="154">
        <f t="shared" si="13"/>
        <v>1301.4000000000001</v>
      </c>
      <c r="Q17" s="154">
        <f t="shared" si="14"/>
        <v>1041.0999999999999</v>
      </c>
      <c r="R17" s="154">
        <f t="shared" si="15"/>
        <v>1041.0999999999999</v>
      </c>
      <c r="S17" s="154">
        <f t="shared" si="16"/>
        <v>108.3</v>
      </c>
      <c r="T17" s="154">
        <f t="shared" si="17"/>
        <v>3491.9</v>
      </c>
      <c r="U17" s="696"/>
      <c r="V17" s="155">
        <f t="shared" si="0"/>
        <v>3491.9</v>
      </c>
      <c r="W17" s="155">
        <f t="shared" si="20"/>
        <v>1054.5999999999999</v>
      </c>
      <c r="X17" s="278">
        <v>3</v>
      </c>
      <c r="Y17" s="24">
        <v>30</v>
      </c>
      <c r="Z17" s="48">
        <f t="shared" si="1"/>
        <v>90</v>
      </c>
      <c r="AA17" s="54">
        <v>2</v>
      </c>
      <c r="AB17" s="24">
        <v>15</v>
      </c>
      <c r="AC17" s="48">
        <f t="shared" si="2"/>
        <v>30</v>
      </c>
      <c r="AD17" s="54"/>
      <c r="AE17" s="24">
        <v>30</v>
      </c>
      <c r="AF17" s="48">
        <f t="shared" si="3"/>
        <v>0</v>
      </c>
      <c r="AG17" s="48">
        <f t="shared" si="4"/>
        <v>36</v>
      </c>
      <c r="AH17" s="48">
        <f t="shared" si="5"/>
        <v>156</v>
      </c>
      <c r="AI17" s="34">
        <f t="shared" si="6"/>
        <v>58198.3</v>
      </c>
      <c r="AJ17" s="34"/>
      <c r="AK17" s="34">
        <f t="shared" si="7"/>
        <v>698.4</v>
      </c>
      <c r="AL17" s="34">
        <f t="shared" si="18"/>
        <v>244.6</v>
      </c>
      <c r="AM17" s="51">
        <v>0.30199999999999999</v>
      </c>
      <c r="AS17" s="51">
        <f t="shared" si="8"/>
        <v>12.71</v>
      </c>
    </row>
    <row r="18" spans="1:45" ht="26.4" x14ac:dyDescent="0.25">
      <c r="A18" s="278">
        <v>10</v>
      </c>
      <c r="B18" s="44" t="s">
        <v>131</v>
      </c>
      <c r="C18" s="167">
        <v>1</v>
      </c>
      <c r="D18" s="177">
        <v>8.4730000000000008</v>
      </c>
      <c r="E18" s="171">
        <f>C18*D18</f>
        <v>8.4700000000000006</v>
      </c>
      <c r="F18" s="154">
        <f t="shared" si="9"/>
        <v>101.6</v>
      </c>
      <c r="G18" s="154"/>
      <c r="H18" s="154"/>
      <c r="I18" s="154"/>
      <c r="J18" s="154"/>
      <c r="K18" s="154">
        <f>F18*0.4</f>
        <v>40.6</v>
      </c>
      <c r="L18" s="154">
        <f t="shared" si="10"/>
        <v>34.9</v>
      </c>
      <c r="M18" s="154">
        <f t="shared" si="11"/>
        <v>177.1</v>
      </c>
      <c r="N18" s="171">
        <v>0.41</v>
      </c>
      <c r="O18" s="154">
        <f t="shared" si="12"/>
        <v>72.599999999999994</v>
      </c>
      <c r="P18" s="154">
        <f t="shared" si="13"/>
        <v>249.7</v>
      </c>
      <c r="Q18" s="154">
        <f t="shared" si="14"/>
        <v>199.8</v>
      </c>
      <c r="R18" s="154">
        <f t="shared" si="15"/>
        <v>199.8</v>
      </c>
      <c r="S18" s="154">
        <f t="shared" si="16"/>
        <v>20.8</v>
      </c>
      <c r="T18" s="154">
        <f t="shared" si="17"/>
        <v>670.1</v>
      </c>
      <c r="U18" s="696"/>
      <c r="V18" s="155">
        <f t="shared" si="0"/>
        <v>670.1</v>
      </c>
      <c r="W18" s="155">
        <f t="shared" si="20"/>
        <v>202.4</v>
      </c>
      <c r="X18" s="278">
        <v>1</v>
      </c>
      <c r="Y18" s="24">
        <v>35</v>
      </c>
      <c r="Z18" s="48">
        <f t="shared" si="1"/>
        <v>35</v>
      </c>
      <c r="AA18" s="54"/>
      <c r="AB18" s="24">
        <v>17.5</v>
      </c>
      <c r="AC18" s="48">
        <f t="shared" si="2"/>
        <v>0</v>
      </c>
      <c r="AD18" s="54"/>
      <c r="AE18" s="24">
        <v>35</v>
      </c>
      <c r="AF18" s="48">
        <f t="shared" si="3"/>
        <v>0</v>
      </c>
      <c r="AG18" s="48">
        <f t="shared" si="4"/>
        <v>10.5</v>
      </c>
      <c r="AH18" s="48">
        <f t="shared" si="5"/>
        <v>45.5</v>
      </c>
      <c r="AI18" s="34">
        <f t="shared" si="6"/>
        <v>55841.7</v>
      </c>
      <c r="AJ18" s="34"/>
      <c r="AK18" s="34">
        <f t="shared" si="7"/>
        <v>670.1</v>
      </c>
      <c r="AL18" s="34">
        <f t="shared" si="18"/>
        <v>239.4</v>
      </c>
      <c r="AM18" s="51">
        <v>0.30199999999999999</v>
      </c>
      <c r="AS18" s="51">
        <f t="shared" si="8"/>
        <v>12.71</v>
      </c>
    </row>
    <row r="19" spans="1:45" x14ac:dyDescent="0.25">
      <c r="A19" s="278">
        <v>11</v>
      </c>
      <c r="B19" s="178" t="s">
        <v>104</v>
      </c>
      <c r="C19" s="179">
        <v>1</v>
      </c>
      <c r="D19" s="177">
        <v>8.4730000000000008</v>
      </c>
      <c r="E19" s="171">
        <f t="shared" si="19"/>
        <v>8.4700000000000006</v>
      </c>
      <c r="F19" s="154">
        <f t="shared" si="9"/>
        <v>101.6</v>
      </c>
      <c r="G19" s="154"/>
      <c r="H19" s="154"/>
      <c r="I19" s="154"/>
      <c r="J19" s="154"/>
      <c r="K19" s="154">
        <f>F19*0.4</f>
        <v>40.6</v>
      </c>
      <c r="L19" s="154">
        <f t="shared" si="10"/>
        <v>34.9</v>
      </c>
      <c r="M19" s="154">
        <f t="shared" si="11"/>
        <v>177.1</v>
      </c>
      <c r="N19" s="171">
        <v>0.41</v>
      </c>
      <c r="O19" s="154">
        <f t="shared" si="12"/>
        <v>72.599999999999994</v>
      </c>
      <c r="P19" s="154">
        <f t="shared" si="13"/>
        <v>249.7</v>
      </c>
      <c r="Q19" s="154">
        <f t="shared" si="14"/>
        <v>199.8</v>
      </c>
      <c r="R19" s="154">
        <f t="shared" si="15"/>
        <v>199.8</v>
      </c>
      <c r="S19" s="154">
        <f t="shared" si="16"/>
        <v>20.8</v>
      </c>
      <c r="T19" s="154">
        <f t="shared" si="17"/>
        <v>670.1</v>
      </c>
      <c r="U19" s="696"/>
      <c r="V19" s="155">
        <f t="shared" si="0"/>
        <v>670.1</v>
      </c>
      <c r="W19" s="155">
        <f t="shared" si="20"/>
        <v>202.4</v>
      </c>
      <c r="X19" s="278">
        <v>1</v>
      </c>
      <c r="Y19" s="24">
        <v>30</v>
      </c>
      <c r="Z19" s="48">
        <f t="shared" si="1"/>
        <v>30</v>
      </c>
      <c r="AA19" s="54"/>
      <c r="AB19" s="24">
        <v>15</v>
      </c>
      <c r="AC19" s="48">
        <f t="shared" si="2"/>
        <v>0</v>
      </c>
      <c r="AD19" s="54"/>
      <c r="AE19" s="24">
        <v>30</v>
      </c>
      <c r="AF19" s="48">
        <f t="shared" si="3"/>
        <v>0</v>
      </c>
      <c r="AG19" s="48">
        <f t="shared" si="4"/>
        <v>9</v>
      </c>
      <c r="AH19" s="48">
        <f t="shared" si="5"/>
        <v>39</v>
      </c>
      <c r="AI19" s="34">
        <f t="shared" si="6"/>
        <v>55841.7</v>
      </c>
      <c r="AJ19" s="34"/>
      <c r="AK19" s="34">
        <f t="shared" si="7"/>
        <v>670.1</v>
      </c>
      <c r="AL19" s="34">
        <f t="shared" si="18"/>
        <v>239.4</v>
      </c>
      <c r="AM19" s="51">
        <v>0.30199999999999999</v>
      </c>
      <c r="AS19" s="51">
        <f t="shared" si="8"/>
        <v>12.71</v>
      </c>
    </row>
    <row r="20" spans="1:45" x14ac:dyDescent="0.25">
      <c r="A20" s="278">
        <v>12</v>
      </c>
      <c r="B20" s="176" t="s">
        <v>20</v>
      </c>
      <c r="C20" s="180">
        <v>2</v>
      </c>
      <c r="D20" s="177">
        <v>8.4730000000000008</v>
      </c>
      <c r="E20" s="171">
        <f t="shared" si="19"/>
        <v>16.95</v>
      </c>
      <c r="F20" s="154">
        <f t="shared" si="9"/>
        <v>203.4</v>
      </c>
      <c r="G20" s="154"/>
      <c r="H20" s="154"/>
      <c r="I20" s="154"/>
      <c r="J20" s="154">
        <f>D20*0.1*12</f>
        <v>10.199999999999999</v>
      </c>
      <c r="K20" s="154">
        <f>D20*0.35*12</f>
        <v>35.6</v>
      </c>
      <c r="L20" s="154">
        <f t="shared" si="10"/>
        <v>69.8</v>
      </c>
      <c r="M20" s="154">
        <f t="shared" si="11"/>
        <v>319</v>
      </c>
      <c r="N20" s="171">
        <v>0.41</v>
      </c>
      <c r="O20" s="154">
        <f t="shared" si="12"/>
        <v>130.80000000000001</v>
      </c>
      <c r="P20" s="154">
        <f t="shared" si="13"/>
        <v>449.8</v>
      </c>
      <c r="Q20" s="154">
        <f t="shared" si="14"/>
        <v>359.8</v>
      </c>
      <c r="R20" s="154">
        <f t="shared" si="15"/>
        <v>359.8</v>
      </c>
      <c r="S20" s="154">
        <f t="shared" si="16"/>
        <v>37.4</v>
      </c>
      <c r="T20" s="154">
        <f t="shared" si="17"/>
        <v>1206.8</v>
      </c>
      <c r="U20" s="696"/>
      <c r="V20" s="155">
        <f t="shared" si="0"/>
        <v>1206.8</v>
      </c>
      <c r="W20" s="155">
        <f t="shared" si="20"/>
        <v>364.5</v>
      </c>
      <c r="X20" s="278">
        <v>1</v>
      </c>
      <c r="Y20" s="24">
        <v>30</v>
      </c>
      <c r="Z20" s="48">
        <f t="shared" si="1"/>
        <v>30</v>
      </c>
      <c r="AA20" s="278">
        <v>1</v>
      </c>
      <c r="AB20" s="24">
        <v>15</v>
      </c>
      <c r="AC20" s="48">
        <f t="shared" si="2"/>
        <v>15</v>
      </c>
      <c r="AD20" s="278"/>
      <c r="AE20" s="24">
        <v>30</v>
      </c>
      <c r="AF20" s="48">
        <f t="shared" si="3"/>
        <v>0</v>
      </c>
      <c r="AG20" s="48">
        <f t="shared" si="4"/>
        <v>13.5</v>
      </c>
      <c r="AH20" s="48">
        <f t="shared" si="5"/>
        <v>58.5</v>
      </c>
      <c r="AI20" s="34">
        <f t="shared" si="6"/>
        <v>50283.3</v>
      </c>
      <c r="AJ20" s="34"/>
      <c r="AK20" s="34">
        <f t="shared" si="7"/>
        <v>603.4</v>
      </c>
      <c r="AL20" s="34">
        <f t="shared" si="18"/>
        <v>227.3</v>
      </c>
      <c r="AM20" s="51">
        <v>0.30199999999999999</v>
      </c>
      <c r="AS20" s="51">
        <f t="shared" si="8"/>
        <v>12.71</v>
      </c>
    </row>
    <row r="21" spans="1:45" ht="26.4" x14ac:dyDescent="0.25">
      <c r="A21" s="278">
        <v>13</v>
      </c>
      <c r="B21" s="181" t="s">
        <v>106</v>
      </c>
      <c r="C21" s="172">
        <v>12</v>
      </c>
      <c r="D21" s="182">
        <v>8.4730000000000008</v>
      </c>
      <c r="E21" s="171">
        <f t="shared" si="19"/>
        <v>101.68</v>
      </c>
      <c r="F21" s="154">
        <f t="shared" si="9"/>
        <v>1220.2</v>
      </c>
      <c r="G21" s="154"/>
      <c r="H21" s="154"/>
      <c r="I21" s="154"/>
      <c r="J21" s="154"/>
      <c r="K21" s="154">
        <f>D21*0.2*12+D21*0.4*12+D21*0.2*30</f>
        <v>111.8</v>
      </c>
      <c r="L21" s="154">
        <f t="shared" si="10"/>
        <v>418.7</v>
      </c>
      <c r="M21" s="154">
        <f t="shared" si="11"/>
        <v>1750.7</v>
      </c>
      <c r="N21" s="171">
        <v>0.47</v>
      </c>
      <c r="O21" s="154">
        <f t="shared" si="12"/>
        <v>822.8</v>
      </c>
      <c r="P21" s="154">
        <f t="shared" si="13"/>
        <v>2573.5</v>
      </c>
      <c r="Q21" s="154">
        <f t="shared" si="14"/>
        <v>2058.8000000000002</v>
      </c>
      <c r="R21" s="154">
        <f t="shared" si="15"/>
        <v>2058.8000000000002</v>
      </c>
      <c r="S21" s="154">
        <f t="shared" si="16"/>
        <v>214.1</v>
      </c>
      <c r="T21" s="154">
        <f t="shared" si="17"/>
        <v>6905.2</v>
      </c>
      <c r="U21" s="696"/>
      <c r="V21" s="155">
        <f t="shared" si="0"/>
        <v>6905.2</v>
      </c>
      <c r="W21" s="155">
        <f t="shared" si="20"/>
        <v>2085.4</v>
      </c>
      <c r="X21" s="272">
        <v>10</v>
      </c>
      <c r="Y21" s="163">
        <v>30</v>
      </c>
      <c r="Z21" s="164">
        <f t="shared" si="1"/>
        <v>300</v>
      </c>
      <c r="AA21" s="272">
        <v>6</v>
      </c>
      <c r="AB21" s="163">
        <v>15</v>
      </c>
      <c r="AC21" s="164">
        <f t="shared" si="2"/>
        <v>90</v>
      </c>
      <c r="AD21" s="272"/>
      <c r="AE21" s="163">
        <v>30</v>
      </c>
      <c r="AF21" s="164">
        <f t="shared" si="3"/>
        <v>0</v>
      </c>
      <c r="AG21" s="164">
        <f t="shared" si="4"/>
        <v>117</v>
      </c>
      <c r="AH21" s="164">
        <f t="shared" si="5"/>
        <v>507</v>
      </c>
      <c r="AI21" s="34">
        <f t="shared" si="6"/>
        <v>47952.800000000003</v>
      </c>
      <c r="AJ21" s="34"/>
      <c r="AK21" s="34">
        <f t="shared" si="7"/>
        <v>575.4</v>
      </c>
      <c r="AL21" s="34">
        <f t="shared" si="18"/>
        <v>222.2</v>
      </c>
      <c r="AM21" s="51">
        <v>0.30199999999999999</v>
      </c>
      <c r="AS21" s="51">
        <f t="shared" si="8"/>
        <v>12.71</v>
      </c>
    </row>
    <row r="22" spans="1:45" s="188" customFormat="1" x14ac:dyDescent="0.25">
      <c r="A22" s="278">
        <v>14</v>
      </c>
      <c r="B22" s="106" t="s">
        <v>107</v>
      </c>
      <c r="C22" s="172">
        <f>2-1</f>
        <v>1</v>
      </c>
      <c r="D22" s="183">
        <v>4.3769999999999998</v>
      </c>
      <c r="E22" s="184">
        <f t="shared" si="19"/>
        <v>4.38</v>
      </c>
      <c r="F22" s="185">
        <f t="shared" si="9"/>
        <v>52.6</v>
      </c>
      <c r="G22" s="155"/>
      <c r="H22" s="155"/>
      <c r="I22" s="155"/>
      <c r="J22" s="155"/>
      <c r="K22" s="155"/>
      <c r="L22" s="154">
        <v>38.299999999999997</v>
      </c>
      <c r="M22" s="186">
        <f t="shared" si="11"/>
        <v>90.9</v>
      </c>
      <c r="N22" s="184">
        <v>0.47</v>
      </c>
      <c r="O22" s="186">
        <f t="shared" si="12"/>
        <v>42.7</v>
      </c>
      <c r="P22" s="186">
        <f t="shared" si="13"/>
        <v>133.6</v>
      </c>
      <c r="Q22" s="186">
        <f t="shared" si="14"/>
        <v>106.9</v>
      </c>
      <c r="R22" s="155">
        <f t="shared" si="15"/>
        <v>106.9</v>
      </c>
      <c r="S22" s="186">
        <f t="shared" si="16"/>
        <v>11.1</v>
      </c>
      <c r="T22" s="186">
        <f t="shared" si="17"/>
        <v>358.5</v>
      </c>
      <c r="U22" s="697"/>
      <c r="V22" s="186">
        <f>T22*$U$9</f>
        <v>358.5</v>
      </c>
      <c r="W22" s="155">
        <f t="shared" si="20"/>
        <v>108.3</v>
      </c>
      <c r="X22" s="278">
        <v>1</v>
      </c>
      <c r="Y22" s="24">
        <v>30</v>
      </c>
      <c r="Z22" s="48">
        <f t="shared" si="1"/>
        <v>30</v>
      </c>
      <c r="AA22" s="278"/>
      <c r="AB22" s="24">
        <v>15</v>
      </c>
      <c r="AC22" s="48">
        <f t="shared" si="2"/>
        <v>0</v>
      </c>
      <c r="AD22" s="278">
        <v>1</v>
      </c>
      <c r="AE22" s="24">
        <v>30</v>
      </c>
      <c r="AF22" s="48">
        <f t="shared" si="3"/>
        <v>30</v>
      </c>
      <c r="AG22" s="48">
        <f t="shared" si="4"/>
        <v>18</v>
      </c>
      <c r="AH22" s="48">
        <f t="shared" si="5"/>
        <v>78</v>
      </c>
      <c r="AI22" s="34">
        <f t="shared" si="6"/>
        <v>29875</v>
      </c>
      <c r="AJ22" s="187"/>
      <c r="AK22" s="34">
        <f t="shared" si="7"/>
        <v>358.5</v>
      </c>
      <c r="AL22" s="34">
        <f t="shared" si="18"/>
        <v>182.7</v>
      </c>
      <c r="AM22" s="51">
        <v>0.30199999999999999</v>
      </c>
      <c r="AN22" s="22"/>
      <c r="AO22" s="22"/>
      <c r="AP22" s="22"/>
      <c r="AQ22" s="22"/>
      <c r="AS22" s="51">
        <f t="shared" si="8"/>
        <v>6.5659999999999998</v>
      </c>
    </row>
    <row r="23" spans="1:45" s="33" customFormat="1" ht="20.25" customHeight="1" x14ac:dyDescent="0.25">
      <c r="A23" s="698" t="s">
        <v>72</v>
      </c>
      <c r="B23" s="698"/>
      <c r="C23" s="189">
        <f t="shared" ref="C23:AH23" si="21">SUM(C9:C22)</f>
        <v>126</v>
      </c>
      <c r="D23" s="156">
        <f t="shared" si="21"/>
        <v>141.6</v>
      </c>
      <c r="E23" s="156">
        <f t="shared" si="21"/>
        <v>1152.5999999999999</v>
      </c>
      <c r="F23" s="156">
        <f t="shared" si="21"/>
        <v>13830.6</v>
      </c>
      <c r="G23" s="156">
        <f t="shared" si="21"/>
        <v>0</v>
      </c>
      <c r="H23" s="156">
        <f t="shared" si="21"/>
        <v>0</v>
      </c>
      <c r="I23" s="156">
        <f t="shared" si="21"/>
        <v>48</v>
      </c>
      <c r="J23" s="156">
        <f t="shared" si="21"/>
        <v>671.1</v>
      </c>
      <c r="K23" s="156">
        <f t="shared" si="21"/>
        <v>1675.5</v>
      </c>
      <c r="L23" s="156">
        <f t="shared" si="21"/>
        <v>4765.8999999999996</v>
      </c>
      <c r="M23" s="156">
        <f t="shared" si="21"/>
        <v>20991.1</v>
      </c>
      <c r="N23" s="156"/>
      <c r="O23" s="156">
        <f t="shared" si="21"/>
        <v>8876.2999999999993</v>
      </c>
      <c r="P23" s="156">
        <f t="shared" si="21"/>
        <v>29867.4</v>
      </c>
      <c r="Q23" s="156">
        <f t="shared" si="21"/>
        <v>23893.9</v>
      </c>
      <c r="R23" s="156">
        <f t="shared" si="21"/>
        <v>23893.9</v>
      </c>
      <c r="S23" s="156">
        <f t="shared" si="21"/>
        <v>2485</v>
      </c>
      <c r="T23" s="156">
        <f t="shared" si="21"/>
        <v>80140.2</v>
      </c>
      <c r="U23" s="156">
        <f t="shared" si="21"/>
        <v>1</v>
      </c>
      <c r="V23" s="156">
        <f t="shared" si="21"/>
        <v>80140.2</v>
      </c>
      <c r="W23" s="156">
        <f>SUM(W9:W22)</f>
        <v>24003.599999999999</v>
      </c>
      <c r="X23" s="156">
        <f>SUM(X9:X22)</f>
        <v>75</v>
      </c>
      <c r="Y23" s="156">
        <f t="shared" si="21"/>
        <v>425</v>
      </c>
      <c r="Z23" s="190">
        <f t="shared" si="21"/>
        <v>2255</v>
      </c>
      <c r="AA23" s="156">
        <f t="shared" si="21"/>
        <v>30</v>
      </c>
      <c r="AB23" s="156">
        <f t="shared" si="21"/>
        <v>212.5</v>
      </c>
      <c r="AC23" s="190">
        <f t="shared" si="21"/>
        <v>450</v>
      </c>
      <c r="AD23" s="156">
        <f t="shared" si="21"/>
        <v>16</v>
      </c>
      <c r="AE23" s="156">
        <f t="shared" si="21"/>
        <v>425</v>
      </c>
      <c r="AF23" s="190">
        <f t="shared" si="21"/>
        <v>480</v>
      </c>
      <c r="AG23" s="190">
        <f t="shared" si="21"/>
        <v>955.5</v>
      </c>
      <c r="AH23" s="190">
        <f t="shared" si="21"/>
        <v>4140.5</v>
      </c>
      <c r="AI23" s="34"/>
      <c r="AJ23" s="187"/>
      <c r="AK23" s="34"/>
      <c r="AL23" s="34"/>
      <c r="AM23" s="51"/>
      <c r="AN23" s="22"/>
      <c r="AO23" s="22"/>
      <c r="AP23" s="22"/>
      <c r="AQ23" s="22"/>
      <c r="AS23" s="51"/>
    </row>
    <row r="24" spans="1:45" s="192" customFormat="1" ht="14.25" customHeight="1" x14ac:dyDescent="0.25">
      <c r="A24" s="33"/>
      <c r="B24" s="22"/>
      <c r="C24" s="191"/>
      <c r="D24" s="22"/>
      <c r="E24" s="22"/>
      <c r="F24" s="22"/>
      <c r="G24" s="39"/>
      <c r="H24" s="39"/>
      <c r="I24" s="39"/>
      <c r="J24" s="39"/>
      <c r="K24" s="39"/>
      <c r="L24" s="39"/>
      <c r="M24" s="39"/>
      <c r="N24" s="39"/>
      <c r="O24" s="39"/>
      <c r="P24" s="39"/>
      <c r="Q24" s="39"/>
      <c r="R24" s="39"/>
      <c r="S24" s="39"/>
      <c r="T24" s="39"/>
      <c r="U24" s="22"/>
      <c r="V24" s="34"/>
      <c r="W24" s="66"/>
      <c r="X24" s="39"/>
      <c r="Y24" s="22"/>
      <c r="Z24" s="22"/>
      <c r="AA24" s="39"/>
      <c r="AB24" s="22"/>
      <c r="AC24" s="22"/>
      <c r="AD24" s="39"/>
      <c r="AE24" s="22"/>
      <c r="AF24" s="22"/>
      <c r="AG24" s="39"/>
      <c r="AH24" s="39"/>
      <c r="AI24" s="34"/>
      <c r="AJ24" s="187"/>
      <c r="AK24" s="34"/>
      <c r="AL24" s="34"/>
      <c r="AM24" s="51"/>
      <c r="AN24" s="22"/>
      <c r="AO24" s="22"/>
      <c r="AP24" s="22"/>
      <c r="AQ24" s="22"/>
      <c r="AS24" s="51"/>
    </row>
    <row r="25" spans="1:45" s="192" customFormat="1" ht="14.25" customHeight="1" x14ac:dyDescent="0.25">
      <c r="A25" s="33"/>
      <c r="B25" s="22"/>
      <c r="C25" s="191"/>
      <c r="D25" s="22"/>
      <c r="E25" s="22"/>
      <c r="F25" s="22"/>
      <c r="G25" s="39"/>
      <c r="H25" s="39"/>
      <c r="I25" s="39"/>
      <c r="J25" s="39"/>
      <c r="K25" s="39"/>
      <c r="L25" s="39"/>
      <c r="M25" s="39"/>
      <c r="N25" s="39"/>
      <c r="O25" s="39"/>
      <c r="P25" s="39"/>
      <c r="Q25" s="39"/>
      <c r="R25" s="39"/>
      <c r="S25" s="39"/>
      <c r="T25" s="39"/>
      <c r="U25" s="22"/>
      <c r="V25" s="66"/>
      <c r="W25" s="34"/>
      <c r="X25" s="39"/>
      <c r="Y25" s="22"/>
      <c r="Z25" s="22"/>
      <c r="AA25" s="39"/>
      <c r="AB25" s="22"/>
      <c r="AC25" s="22"/>
      <c r="AD25" s="39"/>
      <c r="AE25" s="22"/>
      <c r="AF25" s="22"/>
      <c r="AG25" s="39"/>
      <c r="AH25" s="39"/>
      <c r="AI25" s="34"/>
      <c r="AJ25" s="187"/>
      <c r="AK25" s="34"/>
      <c r="AL25" s="34"/>
      <c r="AM25" s="51"/>
      <c r="AN25" s="22"/>
      <c r="AO25" s="22"/>
      <c r="AP25" s="22"/>
      <c r="AQ25" s="22"/>
      <c r="AS25" s="51"/>
    </row>
    <row r="26" spans="1:45" s="192" customFormat="1" ht="58.5" customHeight="1" x14ac:dyDescent="0.25">
      <c r="A26" s="33"/>
      <c r="B26" s="22"/>
      <c r="C26" s="191"/>
      <c r="D26" s="22"/>
      <c r="E26" s="22"/>
      <c r="F26" s="22"/>
      <c r="G26" s="481" t="s">
        <v>140</v>
      </c>
      <c r="H26" s="481"/>
      <c r="I26" s="481" t="s">
        <v>143</v>
      </c>
      <c r="J26" s="481"/>
      <c r="K26" s="484" t="s">
        <v>135</v>
      </c>
      <c r="L26" s="485"/>
      <c r="M26" s="481" t="s">
        <v>128</v>
      </c>
      <c r="N26" s="481"/>
      <c r="Q26" s="39"/>
      <c r="R26" s="39"/>
      <c r="S26" s="39"/>
      <c r="T26" s="39"/>
      <c r="U26" s="22"/>
      <c r="V26" s="34"/>
      <c r="W26" s="34"/>
      <c r="X26" s="39"/>
      <c r="Y26" s="22"/>
      <c r="Z26" s="22"/>
      <c r="AA26" s="39"/>
      <c r="AB26" s="22"/>
      <c r="AC26" s="22"/>
      <c r="AD26" s="39"/>
      <c r="AE26" s="22"/>
      <c r="AF26" s="22"/>
      <c r="AG26" s="39"/>
      <c r="AH26" s="39"/>
      <c r="AI26" s="34"/>
      <c r="AJ26" s="187"/>
      <c r="AK26" s="34"/>
      <c r="AL26" s="34"/>
      <c r="AM26" s="51"/>
      <c r="AN26" s="22"/>
      <c r="AO26" s="22"/>
      <c r="AP26" s="22"/>
      <c r="AQ26" s="22"/>
      <c r="AS26" s="51"/>
    </row>
    <row r="27" spans="1:45" s="192" customFormat="1" ht="14.25" customHeight="1" x14ac:dyDescent="0.25">
      <c r="A27" s="33"/>
      <c r="B27" s="22"/>
      <c r="C27" s="191"/>
      <c r="D27" s="22"/>
      <c r="E27" s="22"/>
      <c r="F27" s="22"/>
      <c r="G27" s="279">
        <v>991</v>
      </c>
      <c r="H27" s="279">
        <v>992</v>
      </c>
      <c r="I27" s="279">
        <v>991</v>
      </c>
      <c r="J27" s="279">
        <v>992</v>
      </c>
      <c r="K27" s="279">
        <v>991</v>
      </c>
      <c r="L27" s="279">
        <v>992</v>
      </c>
      <c r="M27" s="279">
        <v>991</v>
      </c>
      <c r="N27" s="279">
        <v>992</v>
      </c>
      <c r="Q27" s="39"/>
      <c r="R27" s="39"/>
      <c r="S27" s="39"/>
      <c r="T27" s="39"/>
      <c r="U27" s="22"/>
      <c r="V27" s="34"/>
      <c r="W27" s="34"/>
      <c r="X27" s="39"/>
      <c r="Y27" s="22"/>
      <c r="Z27" s="22"/>
      <c r="AA27" s="39"/>
      <c r="AB27" s="22"/>
      <c r="AC27" s="22"/>
      <c r="AD27" s="39"/>
      <c r="AE27" s="22"/>
      <c r="AF27" s="22"/>
      <c r="AG27" s="39"/>
      <c r="AH27" s="39"/>
      <c r="AI27" s="34"/>
      <c r="AJ27" s="187"/>
      <c r="AK27" s="34"/>
      <c r="AL27" s="34"/>
      <c r="AM27" s="51"/>
      <c r="AN27" s="22"/>
      <c r="AO27" s="22"/>
      <c r="AP27" s="22"/>
      <c r="AQ27" s="22"/>
      <c r="AS27" s="51"/>
    </row>
    <row r="28" spans="1:45" s="192" customFormat="1" ht="14.25" customHeight="1" x14ac:dyDescent="0.25">
      <c r="A28" s="33"/>
      <c r="B28" s="22"/>
      <c r="C28" s="191"/>
      <c r="D28" s="22"/>
      <c r="E28" s="22"/>
      <c r="F28" s="22"/>
      <c r="G28" s="29">
        <f>76536+3092.6+824.1</f>
        <v>80452.7</v>
      </c>
      <c r="H28" s="29">
        <v>24137.9</v>
      </c>
      <c r="I28" s="29">
        <v>312.5</v>
      </c>
      <c r="J28" s="29">
        <v>94.4</v>
      </c>
      <c r="K28" s="29">
        <f>V23</f>
        <v>80140.2</v>
      </c>
      <c r="L28" s="29">
        <f>W23</f>
        <v>24003.599999999999</v>
      </c>
      <c r="M28" s="29">
        <f>G28-I28-K28</f>
        <v>0</v>
      </c>
      <c r="N28" s="29">
        <f>H28-J28-L28</f>
        <v>39.9</v>
      </c>
      <c r="Q28" s="39"/>
      <c r="R28" s="39"/>
      <c r="S28" s="39"/>
      <c r="T28" s="39"/>
      <c r="U28" s="22"/>
      <c r="V28" s="34"/>
      <c r="W28" s="34"/>
      <c r="X28" s="39"/>
      <c r="Y28" s="22"/>
      <c r="Z28" s="22"/>
      <c r="AA28" s="39"/>
      <c r="AB28" s="22"/>
      <c r="AC28" s="22"/>
      <c r="AD28" s="39"/>
      <c r="AE28" s="22"/>
      <c r="AF28" s="22"/>
      <c r="AG28" s="39"/>
      <c r="AH28" s="39"/>
      <c r="AI28" s="34"/>
      <c r="AJ28" s="187"/>
      <c r="AK28" s="34"/>
      <c r="AL28" s="34"/>
      <c r="AM28" s="51"/>
      <c r="AN28" s="22"/>
      <c r="AO28" s="22"/>
      <c r="AP28" s="22"/>
      <c r="AQ28" s="22"/>
      <c r="AS28" s="51"/>
    </row>
    <row r="29" spans="1:45" s="192" customFormat="1" ht="14.25" customHeight="1" x14ac:dyDescent="0.25">
      <c r="A29" s="33"/>
      <c r="B29" s="22"/>
      <c r="C29" s="191"/>
      <c r="D29" s="22"/>
      <c r="E29" s="22"/>
      <c r="F29" s="22"/>
      <c r="G29" s="39"/>
      <c r="H29" s="39"/>
      <c r="I29" s="157"/>
      <c r="J29" s="157"/>
      <c r="K29" s="157"/>
      <c r="L29" s="157"/>
      <c r="M29" s="39"/>
      <c r="N29" s="39"/>
      <c r="O29" s="39"/>
      <c r="P29" s="39"/>
      <c r="Q29" s="39"/>
      <c r="R29" s="39"/>
      <c r="S29" s="39"/>
      <c r="T29" s="39"/>
      <c r="U29" s="22"/>
      <c r="V29" s="34"/>
      <c r="W29" s="34"/>
      <c r="X29" s="39"/>
      <c r="Y29" s="22"/>
      <c r="Z29" s="22"/>
      <c r="AA29" s="39"/>
      <c r="AB29" s="22"/>
      <c r="AC29" s="22"/>
      <c r="AD29" s="39"/>
      <c r="AE29" s="22"/>
      <c r="AF29" s="22"/>
      <c r="AG29" s="39"/>
      <c r="AH29" s="39"/>
      <c r="AI29" s="34"/>
      <c r="AJ29" s="187"/>
      <c r="AK29" s="34"/>
      <c r="AL29" s="34"/>
      <c r="AM29" s="51"/>
      <c r="AN29" s="22"/>
      <c r="AO29" s="22"/>
      <c r="AP29" s="22"/>
      <c r="AQ29" s="22"/>
      <c r="AS29" s="51"/>
    </row>
    <row r="30" spans="1:45" s="192" customFormat="1" ht="14.25" customHeight="1" x14ac:dyDescent="0.25">
      <c r="A30" s="33"/>
      <c r="B30" s="22"/>
      <c r="C30" s="191"/>
      <c r="D30" s="22"/>
      <c r="E30" s="22"/>
      <c r="F30" s="22"/>
      <c r="G30" s="39"/>
      <c r="H30" s="39"/>
      <c r="I30" s="157"/>
      <c r="J30" s="157"/>
      <c r="K30" s="157"/>
      <c r="L30" s="157"/>
      <c r="M30" s="39"/>
      <c r="N30" s="39"/>
      <c r="O30" s="39"/>
      <c r="P30" s="39"/>
      <c r="Q30" s="39"/>
      <c r="R30" s="39"/>
      <c r="S30" s="39"/>
      <c r="T30" s="39"/>
      <c r="U30" s="22"/>
      <c r="V30" s="34"/>
      <c r="W30" s="34"/>
      <c r="X30" s="39"/>
      <c r="Y30" s="22"/>
      <c r="Z30" s="22"/>
      <c r="AA30" s="39"/>
      <c r="AB30" s="22"/>
      <c r="AC30" s="22"/>
      <c r="AD30" s="39"/>
      <c r="AE30" s="22"/>
      <c r="AF30" s="22"/>
      <c r="AG30" s="39"/>
      <c r="AH30" s="39"/>
      <c r="AI30" s="34"/>
      <c r="AJ30" s="187"/>
      <c r="AK30" s="34"/>
      <c r="AL30" s="34"/>
      <c r="AM30" s="51"/>
      <c r="AN30" s="22"/>
      <c r="AO30" s="22"/>
      <c r="AP30" s="22"/>
      <c r="AQ30" s="22"/>
      <c r="AS30" s="51"/>
    </row>
    <row r="31" spans="1:45" s="192" customFormat="1" ht="14.25" customHeight="1" x14ac:dyDescent="0.25">
      <c r="A31" s="33"/>
      <c r="B31" s="22"/>
      <c r="C31" s="191"/>
      <c r="D31" s="22"/>
      <c r="E31" s="22"/>
      <c r="F31" s="22"/>
      <c r="G31" s="39"/>
      <c r="H31" s="39"/>
      <c r="I31" s="39"/>
      <c r="J31" s="39"/>
      <c r="K31" s="39"/>
      <c r="L31" s="39"/>
      <c r="M31" s="39"/>
      <c r="N31" s="39"/>
      <c r="O31" s="39"/>
      <c r="P31" s="39"/>
      <c r="Q31" s="39"/>
      <c r="R31" s="39"/>
      <c r="S31" s="39"/>
      <c r="T31" s="39"/>
      <c r="U31" s="22"/>
      <c r="V31" s="34"/>
      <c r="W31" s="34"/>
      <c r="X31" s="39"/>
      <c r="Y31" s="22"/>
      <c r="Z31" s="22"/>
      <c r="AA31" s="39"/>
      <c r="AB31" s="22"/>
      <c r="AC31" s="22"/>
      <c r="AD31" s="39"/>
      <c r="AE31" s="22"/>
      <c r="AF31" s="22"/>
      <c r="AG31" s="39"/>
      <c r="AH31" s="39"/>
      <c r="AI31" s="34"/>
      <c r="AJ31" s="187"/>
      <c r="AK31" s="34"/>
      <c r="AL31" s="34"/>
      <c r="AM31" s="51"/>
      <c r="AN31" s="22"/>
      <c r="AO31" s="22"/>
      <c r="AP31" s="22"/>
      <c r="AQ31" s="22"/>
      <c r="AS31" s="51"/>
    </row>
    <row r="32" spans="1:45" s="192" customFormat="1" ht="14.25" customHeight="1" x14ac:dyDescent="0.25">
      <c r="A32" s="33"/>
      <c r="B32" s="22"/>
      <c r="C32" s="191"/>
      <c r="D32" s="22"/>
      <c r="E32" s="22"/>
      <c r="F32" s="22"/>
      <c r="G32" s="39"/>
      <c r="H32" s="39"/>
      <c r="I32" s="39"/>
      <c r="J32" s="39"/>
      <c r="K32" s="39"/>
      <c r="L32" s="39"/>
      <c r="M32" s="39"/>
      <c r="N32" s="39"/>
      <c r="O32" s="39"/>
      <c r="P32" s="39"/>
      <c r="Q32" s="39"/>
      <c r="R32" s="39"/>
      <c r="S32" s="39"/>
      <c r="T32" s="39"/>
      <c r="U32" s="22"/>
      <c r="V32" s="39"/>
      <c r="W32" s="39"/>
      <c r="X32" s="39"/>
      <c r="Y32" s="22"/>
      <c r="Z32" s="22"/>
      <c r="AA32" s="39"/>
      <c r="AB32" s="22"/>
      <c r="AC32" s="22"/>
      <c r="AD32" s="39"/>
      <c r="AE32" s="22"/>
      <c r="AF32" s="22"/>
      <c r="AG32" s="39"/>
      <c r="AH32" s="39"/>
      <c r="AI32" s="34"/>
      <c r="AJ32" s="187"/>
      <c r="AK32" s="34"/>
      <c r="AL32" s="34"/>
      <c r="AM32" s="51"/>
      <c r="AN32" s="22"/>
      <c r="AO32" s="22"/>
      <c r="AP32" s="22"/>
      <c r="AQ32" s="22"/>
    </row>
    <row r="33" spans="1:43" s="195" customFormat="1" ht="13.8" x14ac:dyDescent="0.25">
      <c r="A33" s="165"/>
      <c r="B33" s="193"/>
      <c r="C33" s="194"/>
      <c r="D33" s="194"/>
      <c r="E33" s="158"/>
      <c r="F33" s="158"/>
      <c r="G33" s="158"/>
      <c r="H33" s="158"/>
      <c r="I33" s="158"/>
      <c r="J33" s="158"/>
      <c r="K33" s="158"/>
      <c r="L33" s="158"/>
      <c r="M33" s="157"/>
      <c r="N33" s="157"/>
      <c r="O33" s="157"/>
      <c r="P33" s="157"/>
      <c r="Q33" s="157"/>
      <c r="R33" s="157"/>
      <c r="S33" s="157"/>
      <c r="T33" s="157"/>
      <c r="V33" s="157"/>
      <c r="W33" s="157"/>
      <c r="Z33" s="157"/>
      <c r="AC33" s="157"/>
      <c r="AF33" s="157"/>
      <c r="AG33" s="157"/>
      <c r="AI33" s="196"/>
      <c r="AN33" s="62"/>
      <c r="AO33" s="62"/>
      <c r="AP33" s="62"/>
      <c r="AQ33" s="62"/>
    </row>
    <row r="34" spans="1:43" s="195" customFormat="1" ht="13.8" x14ac:dyDescent="0.25">
      <c r="A34" s="165"/>
      <c r="B34" s="193"/>
      <c r="C34" s="194"/>
      <c r="D34" s="194"/>
      <c r="E34" s="158"/>
      <c r="F34" s="158"/>
      <c r="G34" s="158"/>
      <c r="H34" s="158"/>
      <c r="I34" s="158"/>
      <c r="J34" s="158"/>
      <c r="K34" s="158"/>
      <c r="L34" s="158"/>
      <c r="M34" s="157"/>
      <c r="N34" s="157"/>
      <c r="O34" s="157"/>
      <c r="P34" s="157"/>
      <c r="Q34" s="157"/>
      <c r="R34" s="157"/>
      <c r="S34" s="157"/>
      <c r="T34" s="157"/>
      <c r="V34" s="157"/>
      <c r="W34" s="157"/>
      <c r="Z34" s="157"/>
      <c r="AC34" s="157"/>
      <c r="AF34" s="157"/>
      <c r="AG34" s="157"/>
      <c r="AI34" s="196"/>
      <c r="AN34" s="62"/>
      <c r="AO34" s="62"/>
      <c r="AP34" s="62"/>
      <c r="AQ34" s="62"/>
    </row>
    <row r="35" spans="1:43" s="282" customFormat="1" ht="21" x14ac:dyDescent="0.25">
      <c r="A35" s="81"/>
      <c r="B35" s="82" t="s">
        <v>138</v>
      </c>
      <c r="C35" s="83"/>
      <c r="D35" s="84"/>
      <c r="E35" s="84"/>
      <c r="F35" s="85"/>
      <c r="G35" s="85"/>
      <c r="H35" s="86"/>
      <c r="I35" s="86"/>
      <c r="J35" s="85"/>
      <c r="K35" s="30" t="s">
        <v>166</v>
      </c>
      <c r="L35" s="85"/>
      <c r="M35" s="85"/>
      <c r="N35" s="87"/>
      <c r="O35" s="85"/>
      <c r="P35" s="85"/>
      <c r="Q35" s="85"/>
      <c r="R35" s="85"/>
      <c r="S35" s="85"/>
      <c r="T35" s="85"/>
      <c r="U35" s="85"/>
      <c r="V35" s="85"/>
      <c r="W35" s="85"/>
      <c r="X35" s="85"/>
      <c r="Y35" s="85"/>
      <c r="Z35" s="85"/>
      <c r="AA35" s="85"/>
      <c r="AB35" s="85"/>
      <c r="AC35" s="85"/>
      <c r="AD35" s="85"/>
      <c r="AE35" s="85"/>
      <c r="AF35" s="85"/>
      <c r="AG35" s="85"/>
      <c r="AH35" s="85"/>
      <c r="AI35" s="85"/>
      <c r="AK35" s="88"/>
      <c r="AL35" s="88"/>
      <c r="AM35" s="88"/>
      <c r="AN35" s="88"/>
      <c r="AO35" s="88"/>
    </row>
    <row r="36" spans="1:43" s="205" customFormat="1" ht="13.8" x14ac:dyDescent="0.25">
      <c r="A36" s="197"/>
      <c r="B36" s="197"/>
      <c r="C36" s="198"/>
      <c r="D36" s="199"/>
      <c r="E36" s="199"/>
      <c r="F36" s="159"/>
      <c r="G36" s="159"/>
      <c r="H36" s="200"/>
      <c r="I36" s="200"/>
      <c r="J36" s="159"/>
      <c r="K36" s="159"/>
      <c r="L36" s="159"/>
      <c r="M36" s="159"/>
      <c r="N36" s="201"/>
      <c r="O36" s="159"/>
      <c r="P36" s="159"/>
      <c r="Q36" s="159"/>
      <c r="R36" s="159"/>
      <c r="S36" s="159"/>
      <c r="T36" s="159"/>
      <c r="U36" s="159"/>
      <c r="V36" s="202"/>
      <c r="W36" s="202"/>
      <c r="X36" s="203"/>
      <c r="Y36" s="159"/>
      <c r="Z36" s="159"/>
      <c r="AA36" s="159"/>
      <c r="AB36" s="159"/>
      <c r="AC36" s="159"/>
      <c r="AD36" s="159"/>
      <c r="AE36" s="159"/>
      <c r="AF36" s="159"/>
      <c r="AG36" s="159"/>
      <c r="AH36" s="204"/>
      <c r="AM36" s="204"/>
      <c r="AN36" s="76"/>
      <c r="AO36" s="76"/>
      <c r="AP36" s="76"/>
      <c r="AQ36" s="76"/>
    </row>
    <row r="37" spans="1:43" s="205" customFormat="1" ht="15.6" x14ac:dyDescent="0.25">
      <c r="A37" s="206" t="s">
        <v>96</v>
      </c>
      <c r="B37" s="206"/>
      <c r="C37" s="160"/>
      <c r="D37" s="160"/>
      <c r="E37" s="160"/>
      <c r="F37" s="160"/>
      <c r="G37" s="160"/>
      <c r="H37" s="160"/>
      <c r="I37" s="160"/>
      <c r="J37" s="160"/>
      <c r="K37" s="160"/>
      <c r="L37" s="207"/>
      <c r="M37" s="207"/>
      <c r="N37" s="208"/>
      <c r="O37" s="207"/>
      <c r="P37" s="207"/>
      <c r="Q37" s="207"/>
      <c r="R37" s="207"/>
      <c r="S37" s="207"/>
      <c r="T37" s="207"/>
      <c r="U37" s="207"/>
      <c r="V37" s="207"/>
      <c r="W37" s="207"/>
      <c r="X37" s="207"/>
      <c r="Y37" s="207"/>
      <c r="Z37" s="207"/>
      <c r="AA37" s="207"/>
      <c r="AB37" s="207"/>
      <c r="AC37" s="207"/>
      <c r="AD37" s="207"/>
      <c r="AE37" s="207"/>
      <c r="AF37" s="207"/>
      <c r="AG37" s="207"/>
      <c r="AH37" s="204"/>
      <c r="AM37" s="204"/>
      <c r="AN37" s="76"/>
      <c r="AO37" s="76"/>
      <c r="AP37" s="76"/>
      <c r="AQ37" s="76"/>
    </row>
    <row r="38" spans="1:43" s="205" customFormat="1" ht="15.6" x14ac:dyDescent="0.25">
      <c r="A38" s="206" t="s">
        <v>139</v>
      </c>
      <c r="B38" s="209"/>
      <c r="C38" s="210"/>
      <c r="D38" s="210"/>
      <c r="E38" s="161"/>
      <c r="F38" s="161"/>
      <c r="G38" s="161"/>
      <c r="H38" s="161"/>
      <c r="I38" s="161"/>
      <c r="J38" s="161"/>
      <c r="K38" s="161"/>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4"/>
      <c r="AM38" s="204"/>
      <c r="AN38" s="76"/>
      <c r="AO38" s="76"/>
      <c r="AP38" s="76"/>
      <c r="AQ38" s="76"/>
    </row>
    <row r="39" spans="1:43" ht="21" x14ac:dyDescent="0.25">
      <c r="AN39" s="88"/>
      <c r="AO39" s="88"/>
      <c r="AP39" s="88"/>
      <c r="AQ39" s="88"/>
    </row>
    <row r="40" spans="1:43" x14ac:dyDescent="0.25">
      <c r="E40" s="51"/>
      <c r="F40" s="51"/>
    </row>
    <row r="41" spans="1:43" x14ac:dyDescent="0.25">
      <c r="E41" s="51"/>
      <c r="F41" s="51"/>
    </row>
    <row r="42" spans="1:43" x14ac:dyDescent="0.25">
      <c r="E42" s="51"/>
      <c r="F42" s="51"/>
    </row>
    <row r="43" spans="1:43" x14ac:dyDescent="0.25">
      <c r="E43" s="51"/>
      <c r="F43" s="51"/>
    </row>
    <row r="44" spans="1:43" x14ac:dyDescent="0.25">
      <c r="E44" s="51"/>
      <c r="F44" s="51"/>
    </row>
    <row r="45" spans="1:43" x14ac:dyDescent="0.25">
      <c r="E45" s="51"/>
      <c r="F45" s="51"/>
    </row>
    <row r="46" spans="1:43" x14ac:dyDescent="0.25">
      <c r="E46" s="51"/>
      <c r="F46" s="51"/>
    </row>
    <row r="47" spans="1:43" x14ac:dyDescent="0.25">
      <c r="E47" s="51"/>
      <c r="F47" s="51"/>
    </row>
    <row r="48" spans="1:43" x14ac:dyDescent="0.25">
      <c r="E48" s="51"/>
      <c r="F48" s="51"/>
    </row>
    <row r="49" spans="5:6" x14ac:dyDescent="0.25">
      <c r="E49" s="51"/>
      <c r="F49" s="51"/>
    </row>
    <row r="50" spans="5:6" x14ac:dyDescent="0.25">
      <c r="E50" s="51"/>
      <c r="F50" s="51"/>
    </row>
    <row r="51" spans="5:6" x14ac:dyDescent="0.25">
      <c r="E51" s="51"/>
      <c r="F51" s="51"/>
    </row>
    <row r="52" spans="5:6" x14ac:dyDescent="0.25">
      <c r="E52" s="51"/>
      <c r="F52" s="51"/>
    </row>
    <row r="53" spans="5:6" x14ac:dyDescent="0.25">
      <c r="E53" s="51"/>
    </row>
    <row r="54" spans="5:6" x14ac:dyDescent="0.25">
      <c r="E54" s="51"/>
    </row>
    <row r="55" spans="5:6" x14ac:dyDescent="0.25">
      <c r="E55" s="51"/>
    </row>
    <row r="56" spans="5:6" x14ac:dyDescent="0.25">
      <c r="E56" s="51"/>
    </row>
    <row r="57" spans="5:6" x14ac:dyDescent="0.25">
      <c r="E57" s="51"/>
    </row>
  </sheetData>
  <autoFilter ref="A8:AS24"/>
  <mergeCells count="38">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 ref="A23:B23"/>
    <mergeCell ref="S6:S7"/>
    <mergeCell ref="T6:T7"/>
    <mergeCell ref="U6:U7"/>
    <mergeCell ref="F6:F7"/>
    <mergeCell ref="G6:G7"/>
    <mergeCell ref="H6:H7"/>
    <mergeCell ref="I6:I7"/>
    <mergeCell ref="J6:J7"/>
    <mergeCell ref="L6:L7"/>
    <mergeCell ref="M6:M7"/>
    <mergeCell ref="N6:O6"/>
    <mergeCell ref="P6:P7"/>
    <mergeCell ref="R6:R7"/>
    <mergeCell ref="K6:K7"/>
    <mergeCell ref="AD6:AF6"/>
    <mergeCell ref="Q6:Q7"/>
    <mergeCell ref="G26:H26"/>
    <mergeCell ref="I26:J26"/>
    <mergeCell ref="K26:L26"/>
    <mergeCell ref="M26:N26"/>
    <mergeCell ref="U9:U22"/>
  </mergeCells>
  <printOptions horizontalCentered="1"/>
  <pageMargins left="0" right="0" top="0" bottom="0" header="0.31496062992125984" footer="0.31496062992125984"/>
  <pageSetup paperSize="9" scale="35"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105"/>
  <sheetViews>
    <sheetView view="pageBreakPreview" zoomScale="80" zoomScaleNormal="80" zoomScaleSheetLayoutView="80" workbookViewId="0">
      <pane xSplit="3" ySplit="8" topLeftCell="D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488"/>
      <c r="AF1" s="488"/>
      <c r="AG1" s="488"/>
      <c r="AH1" s="488"/>
    </row>
    <row r="2" spans="1:45" ht="24" customHeight="1" x14ac:dyDescent="0.25">
      <c r="A2" s="489" t="s">
        <v>159</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5"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283"/>
    </row>
    <row r="4" spans="1:45" x14ac:dyDescent="0.25">
      <c r="L4" s="38">
        <v>0.33837499999999998</v>
      </c>
      <c r="V4" s="39"/>
      <c r="W4" s="39"/>
    </row>
    <row r="5" spans="1:45" ht="38.25" customHeight="1" x14ac:dyDescent="0.25">
      <c r="A5" s="491" t="s">
        <v>78</v>
      </c>
      <c r="B5" s="491"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5" ht="60" customHeight="1" x14ac:dyDescent="0.25">
      <c r="A6" s="491"/>
      <c r="B6" s="491"/>
      <c r="C6" s="479"/>
      <c r="D6" s="478" t="s">
        <v>68</v>
      </c>
      <c r="E6" s="478" t="s">
        <v>69</v>
      </c>
      <c r="F6" s="478" t="s">
        <v>89</v>
      </c>
      <c r="G6" s="478" t="s">
        <v>1</v>
      </c>
      <c r="H6" s="478" t="s">
        <v>2</v>
      </c>
      <c r="I6" s="478" t="s">
        <v>70</v>
      </c>
      <c r="J6" s="478" t="s">
        <v>61</v>
      </c>
      <c r="K6" s="478" t="s">
        <v>27</v>
      </c>
      <c r="L6" s="482" t="s">
        <v>65</v>
      </c>
      <c r="M6" s="482" t="s">
        <v>93</v>
      </c>
      <c r="N6" s="483" t="s">
        <v>91</v>
      </c>
      <c r="O6" s="483"/>
      <c r="P6" s="483" t="s">
        <v>88</v>
      </c>
      <c r="Q6" s="482" t="s">
        <v>82</v>
      </c>
      <c r="R6" s="478" t="s">
        <v>83</v>
      </c>
      <c r="S6" s="482"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5" ht="97.5" customHeight="1" x14ac:dyDescent="0.25">
      <c r="A7" s="491"/>
      <c r="B7" s="491"/>
      <c r="C7" s="479"/>
      <c r="D7" s="478"/>
      <c r="E7" s="478"/>
      <c r="F7" s="478"/>
      <c r="G7" s="478"/>
      <c r="H7" s="478"/>
      <c r="I7" s="478"/>
      <c r="J7" s="478"/>
      <c r="K7" s="478"/>
      <c r="L7" s="482" t="s">
        <v>66</v>
      </c>
      <c r="M7" s="482"/>
      <c r="N7" s="281" t="s">
        <v>80</v>
      </c>
      <c r="O7" s="281" t="s">
        <v>81</v>
      </c>
      <c r="P7" s="483"/>
      <c r="Q7" s="482"/>
      <c r="R7" s="478"/>
      <c r="S7" s="482" t="s">
        <v>67</v>
      </c>
      <c r="T7" s="478"/>
      <c r="U7" s="478"/>
      <c r="V7" s="478"/>
      <c r="W7" s="478"/>
      <c r="X7" s="280" t="s">
        <v>5</v>
      </c>
      <c r="Y7" s="280" t="s">
        <v>6</v>
      </c>
      <c r="Z7" s="280" t="s">
        <v>74</v>
      </c>
      <c r="AA7" s="280" t="s">
        <v>5</v>
      </c>
      <c r="AB7" s="280" t="s">
        <v>6</v>
      </c>
      <c r="AC7" s="280" t="s">
        <v>75</v>
      </c>
      <c r="AD7" s="280" t="s">
        <v>5</v>
      </c>
      <c r="AE7" s="280" t="s">
        <v>6</v>
      </c>
      <c r="AF7" s="280" t="s">
        <v>76</v>
      </c>
      <c r="AG7" s="479"/>
      <c r="AH7" s="479"/>
      <c r="AK7" s="211" t="s">
        <v>64</v>
      </c>
      <c r="AL7" s="211" t="s">
        <v>62</v>
      </c>
      <c r="AM7" s="70"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212" t="s">
        <v>116</v>
      </c>
      <c r="AO8" s="212" t="s">
        <v>117</v>
      </c>
      <c r="AP8" s="212" t="s">
        <v>118</v>
      </c>
      <c r="AQ8" s="212" t="s">
        <v>119</v>
      </c>
    </row>
    <row r="9" spans="1:45" ht="16.5" customHeight="1" x14ac:dyDescent="0.25">
      <c r="A9" s="278">
        <v>1</v>
      </c>
      <c r="B9" s="44" t="s">
        <v>14</v>
      </c>
      <c r="C9" s="278">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486">
        <v>1</v>
      </c>
      <c r="V9" s="154">
        <f>T9*$U$9</f>
        <v>2836.9</v>
      </c>
      <c r="W9" s="154">
        <f>AQ9</f>
        <v>597.20000000000005</v>
      </c>
      <c r="X9" s="278">
        <v>1</v>
      </c>
      <c r="Y9" s="24">
        <v>30</v>
      </c>
      <c r="Z9" s="48">
        <f>X9*Y9</f>
        <v>30</v>
      </c>
      <c r="AA9" s="278"/>
      <c r="AB9" s="24">
        <v>15</v>
      </c>
      <c r="AC9" s="48">
        <f>AA9*AB9</f>
        <v>0</v>
      </c>
      <c r="AD9" s="278"/>
      <c r="AE9" s="24">
        <v>30</v>
      </c>
      <c r="AF9" s="48">
        <f>AD9*AE9</f>
        <v>0</v>
      </c>
      <c r="AG9" s="278">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8">
        <v>2</v>
      </c>
      <c r="B10" s="44" t="s">
        <v>125</v>
      </c>
      <c r="C10" s="278">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487"/>
      <c r="V10" s="154">
        <f t="shared" ref="V10:V50" si="5">T10*$U$9</f>
        <v>1508.7</v>
      </c>
      <c r="W10" s="154">
        <f>AQ10</f>
        <v>394</v>
      </c>
      <c r="X10" s="278"/>
      <c r="Y10" s="24">
        <v>30</v>
      </c>
      <c r="Z10" s="48">
        <f>X10*Y10</f>
        <v>0</v>
      </c>
      <c r="AA10" s="278"/>
      <c r="AB10" s="24">
        <v>15</v>
      </c>
      <c r="AC10" s="48">
        <f>AA10*AB10</f>
        <v>0</v>
      </c>
      <c r="AD10" s="278"/>
      <c r="AE10" s="24">
        <v>30</v>
      </c>
      <c r="AF10" s="48">
        <f>AD10*AE10</f>
        <v>0</v>
      </c>
      <c r="AG10" s="278">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8">
        <v>3</v>
      </c>
      <c r="B11" s="44" t="s">
        <v>125</v>
      </c>
      <c r="C11" s="278">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487"/>
      <c r="V11" s="154">
        <f t="shared" si="5"/>
        <v>1378.5</v>
      </c>
      <c r="W11" s="154">
        <f>AQ11</f>
        <v>374.1</v>
      </c>
      <c r="X11" s="278">
        <v>1</v>
      </c>
      <c r="Y11" s="24">
        <v>30</v>
      </c>
      <c r="Z11" s="48">
        <f>X11*Y11</f>
        <v>30</v>
      </c>
      <c r="AA11" s="278"/>
      <c r="AB11" s="24">
        <v>15</v>
      </c>
      <c r="AC11" s="48">
        <f>AA11*AB11</f>
        <v>0</v>
      </c>
      <c r="AD11" s="278"/>
      <c r="AE11" s="24">
        <v>30</v>
      </c>
      <c r="AF11" s="48">
        <f>AD11*AE11</f>
        <v>0</v>
      </c>
      <c r="AG11" s="278">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8">
        <v>4</v>
      </c>
      <c r="B12" s="44" t="s">
        <v>125</v>
      </c>
      <c r="C12" s="278">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487"/>
      <c r="V12" s="154">
        <f t="shared" si="5"/>
        <v>1135.3</v>
      </c>
      <c r="W12" s="154">
        <f>AQ12</f>
        <v>336.8</v>
      </c>
      <c r="X12" s="278">
        <v>1</v>
      </c>
      <c r="Y12" s="24">
        <v>30</v>
      </c>
      <c r="Z12" s="48">
        <f>X12*Y12</f>
        <v>30</v>
      </c>
      <c r="AA12" s="278">
        <v>2</v>
      </c>
      <c r="AB12" s="24">
        <v>15</v>
      </c>
      <c r="AC12" s="48">
        <f>AA12*AB12</f>
        <v>30</v>
      </c>
      <c r="AD12" s="278">
        <v>1</v>
      </c>
      <c r="AE12" s="24">
        <v>30</v>
      </c>
      <c r="AF12" s="48">
        <f>AD12*AE12</f>
        <v>30</v>
      </c>
      <c r="AG12" s="278">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8">
        <v>5</v>
      </c>
      <c r="B13" s="218" t="s">
        <v>16</v>
      </c>
      <c r="C13" s="278">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487"/>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8">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8">
        <v>6</v>
      </c>
      <c r="B14" s="218" t="s">
        <v>16</v>
      </c>
      <c r="C14" s="278">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487"/>
      <c r="V14" s="154">
        <f t="shared" si="5"/>
        <v>912</v>
      </c>
      <c r="W14" s="154">
        <f>AQ14</f>
        <v>274</v>
      </c>
      <c r="X14" s="54">
        <v>1</v>
      </c>
      <c r="Y14" s="24">
        <v>30</v>
      </c>
      <c r="Z14" s="48">
        <f t="shared" si="17"/>
        <v>30</v>
      </c>
      <c r="AA14" s="54"/>
      <c r="AB14" s="24">
        <v>15</v>
      </c>
      <c r="AC14" s="48">
        <f t="shared" si="18"/>
        <v>0</v>
      </c>
      <c r="AD14" s="54"/>
      <c r="AE14" s="24">
        <v>30</v>
      </c>
      <c r="AF14" s="48">
        <f>AD14*AE14</f>
        <v>0</v>
      </c>
      <c r="AG14" s="278">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8">
        <v>8</v>
      </c>
      <c r="B15" s="218" t="s">
        <v>45</v>
      </c>
      <c r="C15" s="278">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487"/>
      <c r="V15" s="154">
        <f t="shared" si="5"/>
        <v>894.2</v>
      </c>
      <c r="W15" s="154">
        <f>AQ15</f>
        <v>269.2</v>
      </c>
      <c r="X15" s="54"/>
      <c r="Y15" s="24">
        <v>30</v>
      </c>
      <c r="Z15" s="48">
        <f t="shared" si="17"/>
        <v>0</v>
      </c>
      <c r="AA15" s="54"/>
      <c r="AB15" s="24">
        <v>15</v>
      </c>
      <c r="AC15" s="48">
        <f t="shared" si="18"/>
        <v>0</v>
      </c>
      <c r="AD15" s="54"/>
      <c r="AE15" s="24">
        <v>30</v>
      </c>
      <c r="AF15" s="48">
        <f t="shared" si="19"/>
        <v>0</v>
      </c>
      <c r="AG15" s="278">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8">
        <v>9</v>
      </c>
      <c r="B16" s="218" t="s">
        <v>46</v>
      </c>
      <c r="C16" s="278">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487"/>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8">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8">
        <v>10</v>
      </c>
      <c r="B17" s="218" t="s">
        <v>100</v>
      </c>
      <c r="C17" s="278">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487"/>
      <c r="V17" s="154">
        <f t="shared" si="5"/>
        <v>702.3</v>
      </c>
      <c r="W17" s="154">
        <f>V17*0.302</f>
        <v>212.1</v>
      </c>
      <c r="X17" s="54">
        <v>1</v>
      </c>
      <c r="Y17" s="24">
        <v>30</v>
      </c>
      <c r="Z17" s="48">
        <f>X17*Y17</f>
        <v>30</v>
      </c>
      <c r="AA17" s="54"/>
      <c r="AB17" s="24">
        <v>15</v>
      </c>
      <c r="AC17" s="48">
        <f>AA17*AB17</f>
        <v>0</v>
      </c>
      <c r="AD17" s="54"/>
      <c r="AE17" s="24">
        <v>30</v>
      </c>
      <c r="AF17" s="48">
        <f>AD17*AE17</f>
        <v>0</v>
      </c>
      <c r="AG17" s="278">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8">
        <v>11</v>
      </c>
      <c r="B18" s="218" t="s">
        <v>105</v>
      </c>
      <c r="C18" s="278">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487"/>
      <c r="V18" s="154">
        <f t="shared" si="5"/>
        <v>1303</v>
      </c>
      <c r="W18" s="154">
        <f>V18*0.302</f>
        <v>393.5</v>
      </c>
      <c r="X18" s="54"/>
      <c r="Y18" s="24">
        <v>30</v>
      </c>
      <c r="Z18" s="48">
        <f t="shared" si="17"/>
        <v>0</v>
      </c>
      <c r="AA18" s="54"/>
      <c r="AB18" s="24">
        <v>15</v>
      </c>
      <c r="AC18" s="48">
        <f t="shared" si="18"/>
        <v>0</v>
      </c>
      <c r="AD18" s="54"/>
      <c r="AE18" s="24">
        <v>30</v>
      </c>
      <c r="AF18" s="48">
        <f t="shared" si="19"/>
        <v>0</v>
      </c>
      <c r="AG18" s="278">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8">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487"/>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8">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8">
        <v>13</v>
      </c>
      <c r="B20" s="218" t="s">
        <v>48</v>
      </c>
      <c r="C20" s="278">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487"/>
      <c r="V20" s="154">
        <f t="shared" si="5"/>
        <v>890.5</v>
      </c>
      <c r="W20" s="154">
        <f>AQ20</f>
        <v>268.2</v>
      </c>
      <c r="X20" s="54">
        <v>1</v>
      </c>
      <c r="Y20" s="24">
        <v>30</v>
      </c>
      <c r="Z20" s="48">
        <f>X20*Y20</f>
        <v>30</v>
      </c>
      <c r="AA20" s="54"/>
      <c r="AB20" s="24">
        <v>15</v>
      </c>
      <c r="AC20" s="48">
        <f>AA20*AB20</f>
        <v>0</v>
      </c>
      <c r="AD20" s="54"/>
      <c r="AE20" s="24">
        <v>30</v>
      </c>
      <c r="AF20" s="48">
        <f>AD20*AE20</f>
        <v>0</v>
      </c>
      <c r="AG20" s="278">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8">
        <v>14</v>
      </c>
      <c r="B21" s="218" t="s">
        <v>31</v>
      </c>
      <c r="C21" s="278">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487"/>
      <c r="V21" s="154">
        <f t="shared" si="5"/>
        <v>4701.3</v>
      </c>
      <c r="W21" s="154">
        <f>AQ21*C21</f>
        <v>1409</v>
      </c>
      <c r="X21" s="54">
        <v>4</v>
      </c>
      <c r="Y21" s="24">
        <v>30</v>
      </c>
      <c r="Z21" s="48">
        <f>X21*Y21</f>
        <v>120</v>
      </c>
      <c r="AA21" s="54">
        <v>2</v>
      </c>
      <c r="AB21" s="24">
        <v>15</v>
      </c>
      <c r="AC21" s="48">
        <f>AA21*AB21</f>
        <v>30</v>
      </c>
      <c r="AD21" s="54">
        <v>1</v>
      </c>
      <c r="AE21" s="24">
        <v>30</v>
      </c>
      <c r="AF21" s="48">
        <f>AD21*AE21</f>
        <v>30</v>
      </c>
      <c r="AG21" s="278">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8">
        <v>15</v>
      </c>
      <c r="B22" s="218" t="s">
        <v>110</v>
      </c>
      <c r="C22" s="278">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487"/>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8">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8">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487"/>
      <c r="V23" s="154">
        <f t="shared" si="5"/>
        <v>682.6</v>
      </c>
      <c r="W23" s="154">
        <f t="shared" si="20"/>
        <v>206.1</v>
      </c>
      <c r="X23" s="278">
        <v>1</v>
      </c>
      <c r="Y23" s="24">
        <v>30</v>
      </c>
      <c r="Z23" s="48">
        <f>X23*Y23</f>
        <v>30</v>
      </c>
      <c r="AA23" s="54">
        <v>1</v>
      </c>
      <c r="AB23" s="24">
        <v>15</v>
      </c>
      <c r="AC23" s="48">
        <f>AA23*AB23</f>
        <v>15</v>
      </c>
      <c r="AD23" s="54"/>
      <c r="AE23" s="24">
        <v>30</v>
      </c>
      <c r="AF23" s="48">
        <f>AD23*AE23</f>
        <v>0</v>
      </c>
      <c r="AG23" s="278">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8">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487"/>
      <c r="V24" s="154">
        <f t="shared" si="5"/>
        <v>708.4</v>
      </c>
      <c r="W24" s="154">
        <f t="shared" si="20"/>
        <v>213.9</v>
      </c>
      <c r="X24" s="278"/>
      <c r="Y24" s="24">
        <v>30</v>
      </c>
      <c r="Z24" s="48">
        <f>X24*Y24</f>
        <v>0</v>
      </c>
      <c r="AA24" s="54"/>
      <c r="AB24" s="24">
        <v>15</v>
      </c>
      <c r="AC24" s="48">
        <f>AA24*AB24</f>
        <v>0</v>
      </c>
      <c r="AD24" s="54"/>
      <c r="AE24" s="24">
        <v>30</v>
      </c>
      <c r="AF24" s="48">
        <f>AD24*AE24</f>
        <v>0</v>
      </c>
      <c r="AG24" s="278">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8">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487"/>
      <c r="V25" s="154">
        <f t="shared" si="5"/>
        <v>714.5</v>
      </c>
      <c r="W25" s="154">
        <f t="shared" si="20"/>
        <v>215.8</v>
      </c>
      <c r="X25" s="278">
        <v>1</v>
      </c>
      <c r="Y25" s="24">
        <v>30</v>
      </c>
      <c r="Z25" s="48">
        <f t="shared" ref="Z25:Z38" si="30">X25*Y25</f>
        <v>30</v>
      </c>
      <c r="AA25" s="54"/>
      <c r="AB25" s="24">
        <v>15</v>
      </c>
      <c r="AC25" s="48">
        <f t="shared" ref="AC25:AC38" si="31">AA25*AB25</f>
        <v>0</v>
      </c>
      <c r="AD25" s="54"/>
      <c r="AE25" s="24">
        <v>30</v>
      </c>
      <c r="AF25" s="48">
        <f t="shared" ref="AF25:AF41" si="32">AD25*AE25</f>
        <v>0</v>
      </c>
      <c r="AG25" s="278">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8">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487"/>
      <c r="V26" s="154">
        <f t="shared" si="5"/>
        <v>622.79999999999995</v>
      </c>
      <c r="W26" s="154">
        <f t="shared" si="20"/>
        <v>188.1</v>
      </c>
      <c r="X26" s="278">
        <v>1</v>
      </c>
      <c r="Y26" s="24">
        <v>30</v>
      </c>
      <c r="Z26" s="48">
        <f t="shared" si="30"/>
        <v>30</v>
      </c>
      <c r="AA26" s="54"/>
      <c r="AB26" s="24">
        <v>15</v>
      </c>
      <c r="AC26" s="48">
        <f t="shared" si="31"/>
        <v>0</v>
      </c>
      <c r="AD26" s="54"/>
      <c r="AE26" s="24">
        <v>30</v>
      </c>
      <c r="AF26" s="48">
        <f t="shared" si="32"/>
        <v>0</v>
      </c>
      <c r="AG26" s="278">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8">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487"/>
      <c r="V27" s="154">
        <f t="shared" si="5"/>
        <v>257.60000000000002</v>
      </c>
      <c r="W27" s="154">
        <f t="shared" si="20"/>
        <v>77.8</v>
      </c>
      <c r="X27" s="278"/>
      <c r="Y27" s="24">
        <v>30</v>
      </c>
      <c r="Z27" s="48">
        <f t="shared" si="30"/>
        <v>0</v>
      </c>
      <c r="AA27" s="54"/>
      <c r="AB27" s="24">
        <v>15</v>
      </c>
      <c r="AC27" s="48">
        <f t="shared" si="31"/>
        <v>0</v>
      </c>
      <c r="AD27" s="54"/>
      <c r="AE27" s="24">
        <v>30</v>
      </c>
      <c r="AF27" s="48">
        <f t="shared" si="32"/>
        <v>0</v>
      </c>
      <c r="AG27" s="278">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8">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487"/>
      <c r="V28" s="154">
        <f t="shared" si="5"/>
        <v>897.5</v>
      </c>
      <c r="W28" s="154">
        <f>AQ28</f>
        <v>270.2</v>
      </c>
      <c r="X28" s="278"/>
      <c r="Y28" s="24">
        <v>30</v>
      </c>
      <c r="Z28" s="48">
        <f t="shared" si="30"/>
        <v>0</v>
      </c>
      <c r="AA28" s="54"/>
      <c r="AB28" s="24">
        <v>15</v>
      </c>
      <c r="AC28" s="48">
        <f t="shared" si="31"/>
        <v>0</v>
      </c>
      <c r="AD28" s="54"/>
      <c r="AE28" s="24">
        <v>30</v>
      </c>
      <c r="AF28" s="48">
        <f t="shared" si="32"/>
        <v>0</v>
      </c>
      <c r="AG28" s="278">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8">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487"/>
      <c r="V29" s="154">
        <f t="shared" si="5"/>
        <v>1757.2</v>
      </c>
      <c r="W29" s="154">
        <f>AQ29*C29</f>
        <v>530</v>
      </c>
      <c r="X29" s="278">
        <v>1</v>
      </c>
      <c r="Y29" s="24">
        <v>30</v>
      </c>
      <c r="Z29" s="48">
        <f t="shared" si="30"/>
        <v>30</v>
      </c>
      <c r="AA29" s="54">
        <v>2</v>
      </c>
      <c r="AB29" s="24">
        <v>15</v>
      </c>
      <c r="AC29" s="48">
        <f t="shared" si="31"/>
        <v>30</v>
      </c>
      <c r="AD29" s="54"/>
      <c r="AE29" s="24">
        <v>30</v>
      </c>
      <c r="AF29" s="48">
        <f t="shared" si="32"/>
        <v>0</v>
      </c>
      <c r="AG29" s="278">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8">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487"/>
      <c r="V30" s="154">
        <f t="shared" si="5"/>
        <v>676.5</v>
      </c>
      <c r="W30" s="154">
        <f t="shared" si="20"/>
        <v>204.3</v>
      </c>
      <c r="X30" s="278">
        <v>1</v>
      </c>
      <c r="Y30" s="24">
        <v>30</v>
      </c>
      <c r="Z30" s="48">
        <f t="shared" si="30"/>
        <v>30</v>
      </c>
      <c r="AA30" s="54">
        <v>1</v>
      </c>
      <c r="AB30" s="24">
        <v>15</v>
      </c>
      <c r="AC30" s="48">
        <f t="shared" si="31"/>
        <v>15</v>
      </c>
      <c r="AD30" s="54">
        <v>1</v>
      </c>
      <c r="AE30" s="24">
        <v>30</v>
      </c>
      <c r="AF30" s="48">
        <f t="shared" si="32"/>
        <v>30</v>
      </c>
      <c r="AG30" s="278">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8">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487"/>
      <c r="V31" s="154">
        <f t="shared" si="5"/>
        <v>1896.4</v>
      </c>
      <c r="W31" s="154">
        <f t="shared" si="20"/>
        <v>572.70000000000005</v>
      </c>
      <c r="X31" s="278">
        <v>1</v>
      </c>
      <c r="Y31" s="24">
        <v>30</v>
      </c>
      <c r="Z31" s="48">
        <f t="shared" si="30"/>
        <v>30</v>
      </c>
      <c r="AA31" s="54">
        <v>3</v>
      </c>
      <c r="AB31" s="24">
        <v>15</v>
      </c>
      <c r="AC31" s="48">
        <f t="shared" si="31"/>
        <v>45</v>
      </c>
      <c r="AD31" s="54"/>
      <c r="AE31" s="24">
        <v>30</v>
      </c>
      <c r="AF31" s="48">
        <f t="shared" si="32"/>
        <v>0</v>
      </c>
      <c r="AG31" s="278">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8">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487"/>
      <c r="V32" s="154">
        <f t="shared" si="5"/>
        <v>878.1</v>
      </c>
      <c r="W32" s="154">
        <f>AQ32</f>
        <v>264.8</v>
      </c>
      <c r="X32" s="278"/>
      <c r="Y32" s="24">
        <v>30</v>
      </c>
      <c r="Z32" s="48">
        <f t="shared" si="30"/>
        <v>0</v>
      </c>
      <c r="AA32" s="54"/>
      <c r="AB32" s="24">
        <v>15</v>
      </c>
      <c r="AC32" s="48">
        <f t="shared" si="31"/>
        <v>0</v>
      </c>
      <c r="AD32" s="54"/>
      <c r="AE32" s="24">
        <v>30</v>
      </c>
      <c r="AF32" s="48">
        <f t="shared" si="32"/>
        <v>0</v>
      </c>
      <c r="AG32" s="278">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8">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487"/>
      <c r="V33" s="154">
        <f t="shared" si="5"/>
        <v>2452.4</v>
      </c>
      <c r="W33" s="154">
        <f t="shared" si="20"/>
        <v>740.6</v>
      </c>
      <c r="X33" s="278">
        <v>1</v>
      </c>
      <c r="Y33" s="24">
        <v>30</v>
      </c>
      <c r="Z33" s="48">
        <f t="shared" si="30"/>
        <v>30</v>
      </c>
      <c r="AA33" s="54">
        <v>1</v>
      </c>
      <c r="AB33" s="24">
        <v>15</v>
      </c>
      <c r="AC33" s="48">
        <f t="shared" si="31"/>
        <v>15</v>
      </c>
      <c r="AD33" s="54"/>
      <c r="AE33" s="24">
        <v>30</v>
      </c>
      <c r="AF33" s="48">
        <f t="shared" si="32"/>
        <v>0</v>
      </c>
      <c r="AG33" s="278">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8">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487"/>
      <c r="V34" s="154">
        <f t="shared" si="5"/>
        <v>1799.8</v>
      </c>
      <c r="W34" s="154">
        <f>AQ34*C34</f>
        <v>541.6</v>
      </c>
      <c r="X34" s="278">
        <v>2</v>
      </c>
      <c r="Y34" s="24">
        <v>30</v>
      </c>
      <c r="Z34" s="48">
        <f t="shared" si="30"/>
        <v>60</v>
      </c>
      <c r="AA34" s="54">
        <v>2</v>
      </c>
      <c r="AB34" s="24">
        <v>15</v>
      </c>
      <c r="AC34" s="48">
        <f t="shared" si="31"/>
        <v>30</v>
      </c>
      <c r="AD34" s="54"/>
      <c r="AE34" s="24">
        <v>30</v>
      </c>
      <c r="AF34" s="48">
        <f t="shared" si="32"/>
        <v>0</v>
      </c>
      <c r="AG34" s="278">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8">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487"/>
      <c r="V35" s="154">
        <f t="shared" si="5"/>
        <v>827.1</v>
      </c>
      <c r="W35" s="154">
        <f t="shared" si="20"/>
        <v>249.8</v>
      </c>
      <c r="X35" s="278">
        <v>1</v>
      </c>
      <c r="Y35" s="24">
        <v>30</v>
      </c>
      <c r="Z35" s="48">
        <f t="shared" si="30"/>
        <v>30</v>
      </c>
      <c r="AA35" s="54"/>
      <c r="AB35" s="24">
        <v>15</v>
      </c>
      <c r="AC35" s="48">
        <f t="shared" si="31"/>
        <v>0</v>
      </c>
      <c r="AD35" s="54"/>
      <c r="AE35" s="24">
        <v>30</v>
      </c>
      <c r="AF35" s="48">
        <f t="shared" si="32"/>
        <v>0</v>
      </c>
      <c r="AG35" s="278">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8">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487"/>
      <c r="V36" s="154">
        <f t="shared" si="5"/>
        <v>525.29999999999995</v>
      </c>
      <c r="W36" s="154">
        <f t="shared" si="20"/>
        <v>158.6</v>
      </c>
      <c r="X36" s="278"/>
      <c r="Y36" s="24">
        <v>30</v>
      </c>
      <c r="Z36" s="48">
        <f t="shared" si="30"/>
        <v>0</v>
      </c>
      <c r="AA36" s="54"/>
      <c r="AB36" s="24">
        <v>15</v>
      </c>
      <c r="AC36" s="48">
        <f t="shared" si="31"/>
        <v>0</v>
      </c>
      <c r="AD36" s="54"/>
      <c r="AE36" s="24">
        <v>30</v>
      </c>
      <c r="AF36" s="48">
        <f t="shared" si="32"/>
        <v>0</v>
      </c>
      <c r="AG36" s="278">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8">
        <v>30</v>
      </c>
      <c r="B37" s="218" t="s">
        <v>130</v>
      </c>
      <c r="C37" s="57">
        <v>1</v>
      </c>
      <c r="D37" s="177">
        <v>8.4730000000000008</v>
      </c>
      <c r="E37" s="171">
        <f>C37*D37</f>
        <v>8.4700000000000006</v>
      </c>
      <c r="F37" s="154">
        <f>E37*12</f>
        <v>101.6</v>
      </c>
      <c r="G37" s="154"/>
      <c r="H37" s="154"/>
      <c r="I37" s="154"/>
      <c r="J37" s="154"/>
      <c r="K37" s="154"/>
      <c r="L37" s="154">
        <f t="shared" si="4"/>
        <v>34.4</v>
      </c>
      <c r="M37" s="154">
        <f t="shared" si="22"/>
        <v>136</v>
      </c>
      <c r="N37" s="171">
        <v>0.47</v>
      </c>
      <c r="O37" s="154">
        <f t="shared" si="23"/>
        <v>63.9</v>
      </c>
      <c r="P37" s="154">
        <f t="shared" si="24"/>
        <v>199.9</v>
      </c>
      <c r="Q37" s="154">
        <f t="shared" si="25"/>
        <v>159.9</v>
      </c>
      <c r="R37" s="154">
        <f t="shared" si="26"/>
        <v>159.9</v>
      </c>
      <c r="S37" s="154">
        <f t="shared" si="27"/>
        <v>16.600000000000001</v>
      </c>
      <c r="T37" s="154">
        <f t="shared" si="28"/>
        <v>536.29999999999995</v>
      </c>
      <c r="U37" s="487"/>
      <c r="V37" s="154">
        <f t="shared" si="5"/>
        <v>536.29999999999995</v>
      </c>
      <c r="W37" s="154">
        <f t="shared" si="20"/>
        <v>162</v>
      </c>
      <c r="X37" s="278"/>
      <c r="Y37" s="24">
        <v>30</v>
      </c>
      <c r="Z37" s="48">
        <f t="shared" si="30"/>
        <v>0</v>
      </c>
      <c r="AA37" s="54"/>
      <c r="AB37" s="24">
        <v>15</v>
      </c>
      <c r="AC37" s="48">
        <f t="shared" si="31"/>
        <v>0</v>
      </c>
      <c r="AD37" s="54"/>
      <c r="AE37" s="24">
        <v>30</v>
      </c>
      <c r="AF37" s="48">
        <f t="shared" si="32"/>
        <v>0</v>
      </c>
      <c r="AG37" s="278">
        <f t="shared" si="0"/>
        <v>0</v>
      </c>
      <c r="AH37" s="48">
        <f t="shared" si="33"/>
        <v>0</v>
      </c>
      <c r="AI37" s="34">
        <f>V37/11/C37*1000</f>
        <v>48754.5</v>
      </c>
      <c r="AJ37" s="34"/>
      <c r="AK37" s="216">
        <f t="shared" si="3"/>
        <v>536.29999999999995</v>
      </c>
      <c r="AL37" s="216">
        <f t="shared" si="6"/>
        <v>215.1</v>
      </c>
      <c r="AM37" s="217">
        <v>0.30199999999999999</v>
      </c>
      <c r="AN37" s="62"/>
      <c r="AO37" s="62"/>
      <c r="AP37" s="62"/>
      <c r="AQ37" s="50">
        <f t="shared" si="7"/>
        <v>0</v>
      </c>
      <c r="AS37" s="66"/>
    </row>
    <row r="38" spans="1:45" ht="26.4" x14ac:dyDescent="0.25">
      <c r="A38" s="278">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487"/>
      <c r="V38" s="154">
        <f t="shared" si="5"/>
        <v>350.8</v>
      </c>
      <c r="W38" s="154">
        <f t="shared" si="20"/>
        <v>105.9</v>
      </c>
      <c r="X38" s="278">
        <v>1</v>
      </c>
      <c r="Y38" s="24">
        <v>30</v>
      </c>
      <c r="Z38" s="48">
        <f t="shared" si="30"/>
        <v>30</v>
      </c>
      <c r="AA38" s="278">
        <v>1</v>
      </c>
      <c r="AB38" s="24">
        <v>15</v>
      </c>
      <c r="AC38" s="48">
        <f t="shared" si="31"/>
        <v>15</v>
      </c>
      <c r="AD38" s="278"/>
      <c r="AE38" s="24">
        <v>30</v>
      </c>
      <c r="AF38" s="48">
        <f t="shared" si="32"/>
        <v>0</v>
      </c>
      <c r="AG38" s="278">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8">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487"/>
      <c r="V39" s="154">
        <f t="shared" si="5"/>
        <v>600.4</v>
      </c>
      <c r="W39" s="154">
        <f t="shared" si="20"/>
        <v>181.3</v>
      </c>
      <c r="X39" s="278"/>
      <c r="Y39" s="24">
        <v>30</v>
      </c>
      <c r="Z39" s="48">
        <f>X39*Y39</f>
        <v>0</v>
      </c>
      <c r="AA39" s="278"/>
      <c r="AB39" s="24">
        <v>15</v>
      </c>
      <c r="AC39" s="48">
        <f>AA39*AB39</f>
        <v>0</v>
      </c>
      <c r="AD39" s="278"/>
      <c r="AE39" s="24">
        <v>30</v>
      </c>
      <c r="AF39" s="48">
        <f t="shared" si="32"/>
        <v>0</v>
      </c>
      <c r="AG39" s="278">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8">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487"/>
      <c r="V40" s="154">
        <f t="shared" si="5"/>
        <v>368.6</v>
      </c>
      <c r="W40" s="154">
        <f t="shared" si="20"/>
        <v>111.3</v>
      </c>
      <c r="X40" s="278">
        <v>1</v>
      </c>
      <c r="Y40" s="24">
        <v>30</v>
      </c>
      <c r="Z40" s="48">
        <f>X40*Y40</f>
        <v>30</v>
      </c>
      <c r="AA40" s="278"/>
      <c r="AB40" s="24">
        <v>15</v>
      </c>
      <c r="AC40" s="48">
        <f>AA40*AB40</f>
        <v>0</v>
      </c>
      <c r="AD40" s="278"/>
      <c r="AE40" s="24">
        <v>30</v>
      </c>
      <c r="AF40" s="48">
        <f t="shared" si="32"/>
        <v>0</v>
      </c>
      <c r="AG40" s="278">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8">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487"/>
      <c r="V41" s="154">
        <f t="shared" si="5"/>
        <v>713</v>
      </c>
      <c r="W41" s="154">
        <f t="shared" si="20"/>
        <v>215.3</v>
      </c>
      <c r="X41" s="278">
        <v>1</v>
      </c>
      <c r="Y41" s="24">
        <v>30</v>
      </c>
      <c r="Z41" s="48">
        <f>X41*Y41</f>
        <v>30</v>
      </c>
      <c r="AA41" s="278"/>
      <c r="AB41" s="24">
        <v>15</v>
      </c>
      <c r="AC41" s="48">
        <f>AA41*AB41</f>
        <v>0</v>
      </c>
      <c r="AD41" s="278"/>
      <c r="AE41" s="24">
        <v>30</v>
      </c>
      <c r="AF41" s="48">
        <f t="shared" si="32"/>
        <v>0</v>
      </c>
      <c r="AG41" s="278">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487"/>
      <c r="V42" s="154"/>
      <c r="W42" s="154">
        <f t="shared" si="20"/>
        <v>0</v>
      </c>
      <c r="X42" s="278"/>
      <c r="Y42" s="24"/>
      <c r="Z42" s="48"/>
      <c r="AA42" s="278"/>
      <c r="AB42" s="24"/>
      <c r="AC42" s="48"/>
      <c r="AD42" s="278"/>
      <c r="AE42" s="24"/>
      <c r="AF42" s="48"/>
      <c r="AG42" s="278">
        <f t="shared" si="0"/>
        <v>0</v>
      </c>
      <c r="AH42" s="48"/>
      <c r="AJ42" s="34"/>
      <c r="AK42" s="216"/>
      <c r="AL42" s="216"/>
      <c r="AM42" s="217"/>
      <c r="AN42" s="76"/>
      <c r="AO42" s="76"/>
      <c r="AP42" s="76"/>
      <c r="AQ42" s="50">
        <f t="shared" si="7"/>
        <v>0</v>
      </c>
      <c r="AS42" s="66"/>
    </row>
    <row r="43" spans="1:45" x14ac:dyDescent="0.25">
      <c r="A43" s="278">
        <v>35</v>
      </c>
      <c r="B43" s="52" t="s">
        <v>17</v>
      </c>
      <c r="C43" s="278">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487"/>
      <c r="V43" s="154">
        <f t="shared" si="5"/>
        <v>1020.3</v>
      </c>
      <c r="W43" s="154">
        <f>AQ43</f>
        <v>303.7</v>
      </c>
      <c r="X43" s="278">
        <v>1</v>
      </c>
      <c r="Y43" s="24">
        <v>35</v>
      </c>
      <c r="Z43" s="48">
        <f>X43*Y43</f>
        <v>35</v>
      </c>
      <c r="AA43" s="278"/>
      <c r="AB43" s="24">
        <v>17.5</v>
      </c>
      <c r="AC43" s="48">
        <f>AA43*AB43</f>
        <v>0</v>
      </c>
      <c r="AD43" s="278"/>
      <c r="AE43" s="24">
        <v>35</v>
      </c>
      <c r="AF43" s="48">
        <f>AD43*AE43</f>
        <v>0</v>
      </c>
      <c r="AG43" s="278">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8">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487"/>
      <c r="V44" s="154">
        <f t="shared" si="5"/>
        <v>695.7</v>
      </c>
      <c r="W44" s="154">
        <f t="shared" si="20"/>
        <v>210.1</v>
      </c>
      <c r="X44" s="278">
        <v>1</v>
      </c>
      <c r="Y44" s="24">
        <v>35</v>
      </c>
      <c r="Z44" s="48">
        <f t="shared" ref="Z44:Z51" si="45">X44*Y44</f>
        <v>35</v>
      </c>
      <c r="AA44" s="54"/>
      <c r="AB44" s="24">
        <v>17.5</v>
      </c>
      <c r="AC44" s="48">
        <f t="shared" ref="AC44:AC51" si="46">AA44*AB44</f>
        <v>0</v>
      </c>
      <c r="AD44" s="54"/>
      <c r="AE44" s="24">
        <v>35</v>
      </c>
      <c r="AF44" s="48">
        <f t="shared" ref="AF44:AF51" si="47">AD44*AE44</f>
        <v>0</v>
      </c>
      <c r="AG44" s="278">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8">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487"/>
      <c r="V45" s="154">
        <f t="shared" si="5"/>
        <v>514.6</v>
      </c>
      <c r="W45" s="154">
        <f t="shared" si="20"/>
        <v>155.4</v>
      </c>
      <c r="X45" s="278">
        <v>1</v>
      </c>
      <c r="Y45" s="24">
        <v>35</v>
      </c>
      <c r="Z45" s="48">
        <f t="shared" si="45"/>
        <v>35</v>
      </c>
      <c r="AA45" s="54"/>
      <c r="AB45" s="24">
        <v>17.5</v>
      </c>
      <c r="AC45" s="48">
        <f t="shared" si="46"/>
        <v>0</v>
      </c>
      <c r="AD45" s="54">
        <v>1</v>
      </c>
      <c r="AE45" s="24">
        <v>35</v>
      </c>
      <c r="AF45" s="48">
        <f t="shared" si="47"/>
        <v>35</v>
      </c>
      <c r="AG45" s="278">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8">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487"/>
      <c r="V46" s="154">
        <f t="shared" si="5"/>
        <v>200.6</v>
      </c>
      <c r="W46" s="154">
        <f t="shared" si="20"/>
        <v>60.6</v>
      </c>
      <c r="X46" s="278"/>
      <c r="Y46" s="24">
        <v>35</v>
      </c>
      <c r="Z46" s="48">
        <f t="shared" si="45"/>
        <v>0</v>
      </c>
      <c r="AA46" s="54"/>
      <c r="AB46" s="24">
        <v>17.5</v>
      </c>
      <c r="AC46" s="48">
        <f t="shared" si="46"/>
        <v>0</v>
      </c>
      <c r="AD46" s="54"/>
      <c r="AE46" s="24">
        <v>35</v>
      </c>
      <c r="AF46" s="48">
        <f t="shared" si="47"/>
        <v>0</v>
      </c>
      <c r="AG46" s="278">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8">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487"/>
      <c r="V47" s="154">
        <f t="shared" si="5"/>
        <v>706.7</v>
      </c>
      <c r="W47" s="154">
        <f t="shared" si="20"/>
        <v>213.4</v>
      </c>
      <c r="X47" s="278"/>
      <c r="Y47" s="24">
        <v>35</v>
      </c>
      <c r="Z47" s="48">
        <f t="shared" si="45"/>
        <v>0</v>
      </c>
      <c r="AA47" s="54"/>
      <c r="AB47" s="24">
        <v>17.5</v>
      </c>
      <c r="AC47" s="48">
        <f t="shared" si="46"/>
        <v>0</v>
      </c>
      <c r="AD47" s="54"/>
      <c r="AE47" s="24">
        <v>35</v>
      </c>
      <c r="AF47" s="48">
        <f t="shared" si="47"/>
        <v>0</v>
      </c>
      <c r="AG47" s="278">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8">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487"/>
      <c r="V48" s="154">
        <f t="shared" si="5"/>
        <v>571.20000000000005</v>
      </c>
      <c r="W48" s="154">
        <f t="shared" si="20"/>
        <v>172.5</v>
      </c>
      <c r="X48" s="278">
        <v>1</v>
      </c>
      <c r="Y48" s="24">
        <v>35</v>
      </c>
      <c r="Z48" s="48">
        <f t="shared" si="45"/>
        <v>35</v>
      </c>
      <c r="AA48" s="54"/>
      <c r="AB48" s="24">
        <v>17.5</v>
      </c>
      <c r="AC48" s="48">
        <f>AA48*AB48</f>
        <v>0</v>
      </c>
      <c r="AD48" s="54"/>
      <c r="AE48" s="24">
        <v>35</v>
      </c>
      <c r="AF48" s="48">
        <f t="shared" si="47"/>
        <v>0</v>
      </c>
      <c r="AG48" s="278">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8">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487"/>
      <c r="V49" s="154">
        <f t="shared" si="5"/>
        <v>353.2</v>
      </c>
      <c r="W49" s="154">
        <f t="shared" si="20"/>
        <v>106.7</v>
      </c>
      <c r="X49" s="278"/>
      <c r="Y49" s="24">
        <v>35</v>
      </c>
      <c r="Z49" s="48">
        <f t="shared" si="45"/>
        <v>0</v>
      </c>
      <c r="AA49" s="54"/>
      <c r="AB49" s="24">
        <v>17.5</v>
      </c>
      <c r="AC49" s="48">
        <f t="shared" si="46"/>
        <v>0</v>
      </c>
      <c r="AD49" s="54"/>
      <c r="AE49" s="24">
        <v>35</v>
      </c>
      <c r="AF49" s="48">
        <f t="shared" si="47"/>
        <v>0</v>
      </c>
      <c r="AG49" s="278">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8">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487"/>
      <c r="V50" s="154">
        <f t="shared" si="5"/>
        <v>128.5</v>
      </c>
      <c r="W50" s="154">
        <f t="shared" si="20"/>
        <v>38.799999999999997</v>
      </c>
      <c r="X50" s="278"/>
      <c r="Y50" s="24">
        <v>35</v>
      </c>
      <c r="Z50" s="48">
        <f t="shared" si="45"/>
        <v>0</v>
      </c>
      <c r="AA50" s="54"/>
      <c r="AB50" s="24">
        <v>17.5</v>
      </c>
      <c r="AC50" s="48">
        <f t="shared" si="46"/>
        <v>0</v>
      </c>
      <c r="AD50" s="54"/>
      <c r="AE50" s="24">
        <v>35</v>
      </c>
      <c r="AF50" s="48">
        <f t="shared" si="47"/>
        <v>0</v>
      </c>
      <c r="AG50" s="278">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8">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487"/>
      <c r="V51" s="154">
        <f>T51*$U$9-0.3</f>
        <v>520.6</v>
      </c>
      <c r="W51" s="154">
        <f t="shared" si="20"/>
        <v>157.19999999999999</v>
      </c>
      <c r="X51" s="278"/>
      <c r="Y51" s="24">
        <v>35</v>
      </c>
      <c r="Z51" s="48">
        <f t="shared" si="45"/>
        <v>0</v>
      </c>
      <c r="AA51" s="54"/>
      <c r="AB51" s="24">
        <v>17.5</v>
      </c>
      <c r="AC51" s="48">
        <f t="shared" si="46"/>
        <v>0</v>
      </c>
      <c r="AD51" s="54"/>
      <c r="AE51" s="24">
        <v>35</v>
      </c>
      <c r="AF51" s="48">
        <f t="shared" si="47"/>
        <v>0</v>
      </c>
      <c r="AG51" s="278">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481" t="s">
        <v>72</v>
      </c>
      <c r="B52" s="481"/>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481" t="s">
        <v>140</v>
      </c>
      <c r="H55" s="481"/>
      <c r="I55" s="481" t="s">
        <v>144</v>
      </c>
      <c r="J55" s="481"/>
      <c r="K55" s="484" t="s">
        <v>145</v>
      </c>
      <c r="L55" s="485"/>
      <c r="M55" s="481" t="s">
        <v>128</v>
      </c>
      <c r="N55" s="481"/>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79">
        <v>991</v>
      </c>
      <c r="H56" s="279">
        <v>992</v>
      </c>
      <c r="I56" s="279">
        <v>991</v>
      </c>
      <c r="J56" s="279">
        <v>992</v>
      </c>
      <c r="K56" s="279">
        <v>991</v>
      </c>
      <c r="L56" s="279">
        <v>992</v>
      </c>
      <c r="M56" s="279">
        <v>991</v>
      </c>
      <c r="N56" s="279">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282"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78"/>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78"/>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78"/>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78"/>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78"/>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 ref="A52:B52"/>
    <mergeCell ref="S6:S7"/>
    <mergeCell ref="T6:T7"/>
    <mergeCell ref="U6:U7"/>
    <mergeCell ref="F6:F7"/>
    <mergeCell ref="G6:G7"/>
    <mergeCell ref="H6:H7"/>
    <mergeCell ref="I6:I7"/>
    <mergeCell ref="J6:J7"/>
    <mergeCell ref="L6:L7"/>
    <mergeCell ref="M6:M7"/>
    <mergeCell ref="N6:O6"/>
    <mergeCell ref="P6:P7"/>
    <mergeCell ref="R6:R7"/>
    <mergeCell ref="K6:K7"/>
    <mergeCell ref="AD6:AF6"/>
    <mergeCell ref="Q6:Q7"/>
    <mergeCell ref="G55:H55"/>
    <mergeCell ref="I55:J55"/>
    <mergeCell ref="K55:L55"/>
    <mergeCell ref="M55:N55"/>
    <mergeCell ref="U9:U51"/>
  </mergeCells>
  <printOptions horizontalCentered="1"/>
  <pageMargins left="0" right="0" top="0" bottom="0" header="0.31496062992125984" footer="0.31496062992125984"/>
  <pageSetup paperSize="9" scale="36"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66"/>
  <sheetViews>
    <sheetView view="pageBreakPreview" zoomScale="80" zoomScaleNormal="70" zoomScaleSheetLayoutView="80" workbookViewId="0">
      <pane xSplit="3" ySplit="8" topLeftCell="D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499"/>
      <c r="AF1" s="499"/>
      <c r="AG1" s="499"/>
      <c r="AH1" s="499"/>
    </row>
    <row r="2" spans="1:45" ht="24" customHeight="1" x14ac:dyDescent="0.25">
      <c r="A2" s="500" t="s">
        <v>161</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235"/>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287"/>
    </row>
    <row r="4" spans="1:45" x14ac:dyDescent="0.25">
      <c r="L4" s="38">
        <v>0.15451000000000001</v>
      </c>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68</v>
      </c>
      <c r="E6" s="492" t="s">
        <v>69</v>
      </c>
      <c r="F6" s="492" t="s">
        <v>89</v>
      </c>
      <c r="G6" s="492" t="s">
        <v>1</v>
      </c>
      <c r="H6" s="492" t="s">
        <v>2</v>
      </c>
      <c r="I6" s="492" t="s">
        <v>70</v>
      </c>
      <c r="J6" s="492" t="s">
        <v>61</v>
      </c>
      <c r="K6" s="492" t="s">
        <v>27</v>
      </c>
      <c r="L6" s="495" t="s">
        <v>65</v>
      </c>
      <c r="M6" s="495" t="s">
        <v>86</v>
      </c>
      <c r="N6" s="496" t="s">
        <v>90</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286" t="s">
        <v>80</v>
      </c>
      <c r="O7" s="286" t="s">
        <v>81</v>
      </c>
      <c r="P7" s="496"/>
      <c r="Q7" s="495"/>
      <c r="R7" s="492"/>
      <c r="S7" s="495" t="s">
        <v>67</v>
      </c>
      <c r="T7" s="492"/>
      <c r="U7" s="492"/>
      <c r="V7" s="492"/>
      <c r="W7" s="492"/>
      <c r="X7" s="285" t="s">
        <v>5</v>
      </c>
      <c r="Y7" s="285" t="s">
        <v>6</v>
      </c>
      <c r="Z7" s="285" t="s">
        <v>74</v>
      </c>
      <c r="AA7" s="285" t="s">
        <v>5</v>
      </c>
      <c r="AB7" s="285" t="s">
        <v>6</v>
      </c>
      <c r="AC7" s="285" t="s">
        <v>75</v>
      </c>
      <c r="AD7" s="285" t="s">
        <v>5</v>
      </c>
      <c r="AE7" s="285" t="s">
        <v>6</v>
      </c>
      <c r="AF7" s="285" t="s">
        <v>76</v>
      </c>
      <c r="AG7" s="493"/>
      <c r="AH7" s="493"/>
      <c r="AK7" s="98" t="s">
        <v>64</v>
      </c>
      <c r="AL7" s="98" t="s">
        <v>62</v>
      </c>
      <c r="AM7" s="98" t="s">
        <v>63</v>
      </c>
    </row>
    <row r="8" spans="1:45" ht="15.75"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25</v>
      </c>
      <c r="Y8" s="284">
        <v>26</v>
      </c>
      <c r="Z8" s="284">
        <v>27</v>
      </c>
      <c r="AA8" s="284">
        <v>28</v>
      </c>
      <c r="AB8" s="284">
        <v>29</v>
      </c>
      <c r="AC8" s="284">
        <v>30</v>
      </c>
      <c r="AD8" s="284">
        <v>31</v>
      </c>
      <c r="AE8" s="284">
        <v>32</v>
      </c>
      <c r="AF8" s="284">
        <v>33</v>
      </c>
      <c r="AG8" s="284">
        <v>34</v>
      </c>
      <c r="AH8" s="284">
        <v>35</v>
      </c>
      <c r="AN8" s="212" t="s">
        <v>116</v>
      </c>
      <c r="AO8" s="212" t="s">
        <v>117</v>
      </c>
      <c r="AP8" s="212" t="s">
        <v>118</v>
      </c>
      <c r="AQ8" s="212" t="s">
        <v>119</v>
      </c>
    </row>
    <row r="9" spans="1:45" ht="16.5" customHeight="1" x14ac:dyDescent="0.25">
      <c r="A9" s="284">
        <v>1</v>
      </c>
      <c r="B9" s="236" t="s">
        <v>14</v>
      </c>
      <c r="C9" s="284">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689">
        <v>1</v>
      </c>
      <c r="V9" s="95">
        <f>T9*$U$9</f>
        <v>1707.1</v>
      </c>
      <c r="W9" s="95">
        <f>AQ9</f>
        <v>424.3</v>
      </c>
      <c r="X9" s="284">
        <v>1</v>
      </c>
      <c r="Y9" s="112">
        <v>30</v>
      </c>
      <c r="Z9" s="113">
        <f t="shared" ref="Z9:Z24" si="9">X9*Y9</f>
        <v>30</v>
      </c>
      <c r="AA9" s="284"/>
      <c r="AB9" s="112">
        <v>15</v>
      </c>
      <c r="AC9" s="113">
        <f t="shared" ref="AC9:AC24" si="10">AA9*AB9</f>
        <v>0</v>
      </c>
      <c r="AD9" s="284">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284">
        <v>2</v>
      </c>
      <c r="B10" s="236" t="s">
        <v>127</v>
      </c>
      <c r="C10" s="284">
        <v>1</v>
      </c>
      <c r="D10" s="237">
        <v>17.971</v>
      </c>
      <c r="E10" s="169">
        <f>C10*D10</f>
        <v>17.97</v>
      </c>
      <c r="F10" s="170">
        <f t="shared" si="1"/>
        <v>215.6</v>
      </c>
      <c r="G10" s="95"/>
      <c r="H10" s="95">
        <v>11.2</v>
      </c>
      <c r="I10" s="95"/>
      <c r="J10" s="95"/>
      <c r="K10" s="95">
        <f>F10*0.3+D10*0.05*6.5</f>
        <v>70.5</v>
      </c>
      <c r="L10" s="95">
        <f t="shared" ref="L10:L23"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690"/>
      <c r="V10" s="95">
        <f>T10*$U$9</f>
        <v>1304</v>
      </c>
      <c r="W10" s="95">
        <f>AQ10</f>
        <v>362.6</v>
      </c>
      <c r="X10" s="284">
        <v>1</v>
      </c>
      <c r="Y10" s="112">
        <v>30</v>
      </c>
      <c r="Z10" s="113">
        <f t="shared" si="9"/>
        <v>30</v>
      </c>
      <c r="AA10" s="284"/>
      <c r="AB10" s="112">
        <v>15</v>
      </c>
      <c r="AC10" s="113">
        <f t="shared" si="10"/>
        <v>0</v>
      </c>
      <c r="AD10" s="284"/>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 t="shared" si="16"/>
        <v>362.6</v>
      </c>
      <c r="AS10" s="99">
        <f t="shared" si="17"/>
        <v>26.956499999999998</v>
      </c>
    </row>
    <row r="11" spans="1:45" x14ac:dyDescent="0.25">
      <c r="A11" s="284">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690"/>
      <c r="V11" s="95">
        <f t="shared" ref="V11:V23"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284">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690"/>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284">
        <v>5</v>
      </c>
      <c r="B13" s="52" t="s">
        <v>48</v>
      </c>
      <c r="C13" s="278">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690"/>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284">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690"/>
      <c r="V14" s="95">
        <f>T14*$U$9</f>
        <v>620.1</v>
      </c>
      <c r="W14" s="95">
        <f t="shared" si="22"/>
        <v>187.3</v>
      </c>
      <c r="X14" s="284"/>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284">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690"/>
      <c r="V15" s="95">
        <f t="shared" si="20"/>
        <v>562.70000000000005</v>
      </c>
      <c r="W15" s="95">
        <f t="shared" si="22"/>
        <v>169.9</v>
      </c>
      <c r="X15" s="284"/>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284">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690"/>
      <c r="V16" s="95">
        <f t="shared" si="20"/>
        <v>742.2</v>
      </c>
      <c r="W16" s="95">
        <f t="shared" si="22"/>
        <v>224.1</v>
      </c>
      <c r="X16" s="284"/>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284">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690"/>
      <c r="V17" s="95">
        <f t="shared" si="20"/>
        <v>569.6</v>
      </c>
      <c r="W17" s="95">
        <f t="shared" si="22"/>
        <v>172</v>
      </c>
      <c r="X17" s="284">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284">
        <v>10</v>
      </c>
      <c r="B18" s="236" t="s">
        <v>148</v>
      </c>
      <c r="C18" s="127">
        <v>1</v>
      </c>
      <c r="D18" s="237">
        <v>8.4730000000000008</v>
      </c>
      <c r="E18" s="111">
        <f t="shared" si="0"/>
        <v>8.4700000000000006</v>
      </c>
      <c r="F18" s="95">
        <f t="shared" si="1"/>
        <v>101.6</v>
      </c>
      <c r="G18" s="95"/>
      <c r="H18" s="95"/>
      <c r="I18" s="95"/>
      <c r="J18" s="95"/>
      <c r="K18" s="95">
        <f>F18*0.25+D18*0.05*11</f>
        <v>30.1</v>
      </c>
      <c r="L18" s="95">
        <f t="shared" si="18"/>
        <v>15.7</v>
      </c>
      <c r="M18" s="95">
        <f t="shared" si="2"/>
        <v>147.4</v>
      </c>
      <c r="N18" s="111">
        <v>0.41</v>
      </c>
      <c r="O18" s="95">
        <f t="shared" si="3"/>
        <v>60.4</v>
      </c>
      <c r="P18" s="95">
        <f t="shared" si="4"/>
        <v>207.8</v>
      </c>
      <c r="Q18" s="95">
        <f t="shared" si="5"/>
        <v>166.2</v>
      </c>
      <c r="R18" s="95">
        <f t="shared" si="6"/>
        <v>166.2</v>
      </c>
      <c r="S18" s="95">
        <f t="shared" si="7"/>
        <v>17.3</v>
      </c>
      <c r="T18" s="95">
        <f t="shared" si="8"/>
        <v>557.5</v>
      </c>
      <c r="U18" s="690"/>
      <c r="V18" s="95">
        <f t="shared" si="20"/>
        <v>557.5</v>
      </c>
      <c r="W18" s="95">
        <f t="shared" si="22"/>
        <v>168.4</v>
      </c>
      <c r="X18" s="284">
        <v>1</v>
      </c>
      <c r="Y18" s="112">
        <v>30</v>
      </c>
      <c r="Z18" s="113">
        <f t="shared" si="9"/>
        <v>30</v>
      </c>
      <c r="AA18" s="127"/>
      <c r="AB18" s="112">
        <v>15</v>
      </c>
      <c r="AC18" s="113">
        <f t="shared" si="10"/>
        <v>0</v>
      </c>
      <c r="AD18" s="127"/>
      <c r="AE18" s="112">
        <v>30</v>
      </c>
      <c r="AF18" s="113">
        <f t="shared" si="11"/>
        <v>0</v>
      </c>
      <c r="AG18" s="113">
        <f t="shared" si="12"/>
        <v>9</v>
      </c>
      <c r="AH18" s="113">
        <f t="shared" si="13"/>
        <v>39</v>
      </c>
      <c r="AI18" s="114"/>
      <c r="AK18" s="114">
        <f t="shared" si="15"/>
        <v>557.5</v>
      </c>
      <c r="AL18" s="114"/>
      <c r="AM18" s="115"/>
      <c r="AN18" s="50">
        <f t="shared" si="21"/>
        <v>122.7</v>
      </c>
      <c r="AO18" s="242"/>
      <c r="AP18" s="50">
        <f t="shared" si="23"/>
        <v>29.5</v>
      </c>
      <c r="AQ18" s="50">
        <f t="shared" si="16"/>
        <v>152.19999999999999</v>
      </c>
    </row>
    <row r="19" spans="1:45" ht="26.4" x14ac:dyDescent="0.25">
      <c r="A19" s="284">
        <v>11</v>
      </c>
      <c r="B19" s="236" t="s">
        <v>130</v>
      </c>
      <c r="C19" s="127">
        <v>1</v>
      </c>
      <c r="D19" s="237">
        <v>8.4730000000000008</v>
      </c>
      <c r="E19" s="111">
        <f t="shared" si="0"/>
        <v>8.4700000000000006</v>
      </c>
      <c r="F19" s="95">
        <f t="shared" si="1"/>
        <v>101.6</v>
      </c>
      <c r="G19" s="95"/>
      <c r="H19" s="95"/>
      <c r="I19" s="95"/>
      <c r="J19" s="95"/>
      <c r="K19" s="95"/>
      <c r="L19" s="95">
        <f t="shared" si="18"/>
        <v>15.7</v>
      </c>
      <c r="M19" s="95">
        <f t="shared" si="2"/>
        <v>117.3</v>
      </c>
      <c r="N19" s="111">
        <v>0.47</v>
      </c>
      <c r="O19" s="95">
        <f t="shared" si="3"/>
        <v>55.1</v>
      </c>
      <c r="P19" s="95">
        <f t="shared" si="4"/>
        <v>172.4</v>
      </c>
      <c r="Q19" s="95">
        <f t="shared" si="5"/>
        <v>137.9</v>
      </c>
      <c r="R19" s="95">
        <f t="shared" si="6"/>
        <v>137.9</v>
      </c>
      <c r="S19" s="95">
        <f t="shared" si="7"/>
        <v>14.3</v>
      </c>
      <c r="T19" s="95">
        <f t="shared" si="8"/>
        <v>462.5</v>
      </c>
      <c r="U19" s="690"/>
      <c r="V19" s="95">
        <f t="shared" si="20"/>
        <v>462.5</v>
      </c>
      <c r="W19" s="95">
        <f t="shared" si="22"/>
        <v>139.69999999999999</v>
      </c>
      <c r="X19" s="284"/>
      <c r="Y19" s="112">
        <v>30</v>
      </c>
      <c r="Z19" s="113">
        <f t="shared" si="9"/>
        <v>0</v>
      </c>
      <c r="AA19" s="127"/>
      <c r="AB19" s="112">
        <v>15</v>
      </c>
      <c r="AC19" s="113">
        <f t="shared" si="10"/>
        <v>0</v>
      </c>
      <c r="AD19" s="127"/>
      <c r="AE19" s="112">
        <v>30</v>
      </c>
      <c r="AF19" s="113">
        <f t="shared" si="11"/>
        <v>0</v>
      </c>
      <c r="AG19" s="113">
        <f t="shared" si="12"/>
        <v>0</v>
      </c>
      <c r="AH19" s="113">
        <f t="shared" si="13"/>
        <v>0</v>
      </c>
      <c r="AI19" s="114"/>
      <c r="AK19" s="114">
        <f t="shared" si="15"/>
        <v>462.5</v>
      </c>
      <c r="AL19" s="114"/>
      <c r="AM19" s="115"/>
      <c r="AN19" s="50">
        <f t="shared" si="21"/>
        <v>101.8</v>
      </c>
      <c r="AO19" s="242"/>
      <c r="AP19" s="50">
        <f t="shared" si="23"/>
        <v>24.5</v>
      </c>
      <c r="AQ19" s="50">
        <f t="shared" si="16"/>
        <v>126.3</v>
      </c>
    </row>
    <row r="20" spans="1:45" x14ac:dyDescent="0.25">
      <c r="A20" s="284">
        <v>12</v>
      </c>
      <c r="B20" s="236" t="s">
        <v>149</v>
      </c>
      <c r="C20" s="127">
        <v>1</v>
      </c>
      <c r="D20" s="237">
        <v>11.061999999999999</v>
      </c>
      <c r="E20" s="111">
        <f t="shared" si="0"/>
        <v>11.06</v>
      </c>
      <c r="F20" s="95">
        <f t="shared" si="1"/>
        <v>132.69999999999999</v>
      </c>
      <c r="G20" s="95"/>
      <c r="H20" s="95"/>
      <c r="I20" s="95"/>
      <c r="J20" s="95"/>
      <c r="K20" s="95"/>
      <c r="L20" s="95">
        <f t="shared" si="18"/>
        <v>20.5</v>
      </c>
      <c r="M20" s="95">
        <f t="shared" si="2"/>
        <v>153.19999999999999</v>
      </c>
      <c r="N20" s="111">
        <v>0.43</v>
      </c>
      <c r="O20" s="95">
        <f t="shared" si="3"/>
        <v>65.900000000000006</v>
      </c>
      <c r="P20" s="95">
        <f t="shared" si="4"/>
        <v>219.1</v>
      </c>
      <c r="Q20" s="95">
        <f t="shared" si="5"/>
        <v>175.3</v>
      </c>
      <c r="R20" s="95">
        <f t="shared" si="6"/>
        <v>175.3</v>
      </c>
      <c r="S20" s="95">
        <f t="shared" si="7"/>
        <v>18.2</v>
      </c>
      <c r="T20" s="95">
        <f t="shared" si="8"/>
        <v>587.9</v>
      </c>
      <c r="U20" s="690"/>
      <c r="V20" s="95">
        <f t="shared" si="20"/>
        <v>587.9</v>
      </c>
      <c r="W20" s="95">
        <f t="shared" si="22"/>
        <v>177.5</v>
      </c>
      <c r="X20" s="284"/>
      <c r="Y20" s="112">
        <v>30</v>
      </c>
      <c r="Z20" s="113">
        <f t="shared" si="9"/>
        <v>0</v>
      </c>
      <c r="AA20" s="127"/>
      <c r="AB20" s="112">
        <v>15</v>
      </c>
      <c r="AC20" s="113">
        <f t="shared" si="10"/>
        <v>0</v>
      </c>
      <c r="AD20" s="127"/>
      <c r="AE20" s="112">
        <v>30</v>
      </c>
      <c r="AF20" s="113">
        <f t="shared" si="11"/>
        <v>0</v>
      </c>
      <c r="AG20" s="113">
        <f t="shared" si="12"/>
        <v>0</v>
      </c>
      <c r="AH20" s="113">
        <f t="shared" si="13"/>
        <v>0</v>
      </c>
      <c r="AI20" s="114"/>
      <c r="AK20" s="114">
        <f t="shared" si="15"/>
        <v>587.9</v>
      </c>
      <c r="AL20" s="114"/>
      <c r="AM20" s="115"/>
      <c r="AN20" s="50">
        <f t="shared" si="21"/>
        <v>129.30000000000001</v>
      </c>
      <c r="AO20" s="242"/>
      <c r="AP20" s="50">
        <f t="shared" si="23"/>
        <v>31.2</v>
      </c>
      <c r="AQ20" s="50">
        <f t="shared" si="16"/>
        <v>160.5</v>
      </c>
    </row>
    <row r="21" spans="1:45" x14ac:dyDescent="0.25">
      <c r="A21" s="284">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690"/>
      <c r="V21" s="95">
        <f t="shared" si="20"/>
        <v>774.7</v>
      </c>
      <c r="W21" s="95">
        <f t="shared" si="22"/>
        <v>234</v>
      </c>
      <c r="X21" s="284"/>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284">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690"/>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284">
        <v>15</v>
      </c>
      <c r="B23" s="236" t="s">
        <v>58</v>
      </c>
      <c r="C23" s="246">
        <v>1</v>
      </c>
      <c r="D23" s="247">
        <v>11.061999999999999</v>
      </c>
      <c r="E23" s="111">
        <f t="shared" si="0"/>
        <v>11.06</v>
      </c>
      <c r="F23" s="95">
        <f t="shared" si="1"/>
        <v>132.69999999999999</v>
      </c>
      <c r="G23" s="248"/>
      <c r="H23" s="248"/>
      <c r="I23" s="248"/>
      <c r="J23" s="248"/>
      <c r="K23" s="248"/>
      <c r="L23" s="95">
        <f t="shared" si="18"/>
        <v>20.5</v>
      </c>
      <c r="M23" s="95">
        <f t="shared" si="2"/>
        <v>153.19999999999999</v>
      </c>
      <c r="N23" s="111">
        <v>0.43</v>
      </c>
      <c r="O23" s="95">
        <f t="shared" si="3"/>
        <v>65.900000000000006</v>
      </c>
      <c r="P23" s="95">
        <f t="shared" si="4"/>
        <v>219.1</v>
      </c>
      <c r="Q23" s="95">
        <f t="shared" si="5"/>
        <v>175.3</v>
      </c>
      <c r="R23" s="95">
        <f t="shared" si="6"/>
        <v>175.3</v>
      </c>
      <c r="S23" s="95">
        <f t="shared" si="7"/>
        <v>18.2</v>
      </c>
      <c r="T23" s="95">
        <f t="shared" si="8"/>
        <v>587.9</v>
      </c>
      <c r="U23" s="690"/>
      <c r="V23" s="95">
        <f t="shared" si="20"/>
        <v>587.9</v>
      </c>
      <c r="W23" s="95">
        <f t="shared" si="22"/>
        <v>177.5</v>
      </c>
      <c r="X23" s="246"/>
      <c r="Y23" s="240">
        <v>30</v>
      </c>
      <c r="Z23" s="241">
        <f t="shared" si="9"/>
        <v>0</v>
      </c>
      <c r="AA23" s="246"/>
      <c r="AB23" s="240">
        <v>15</v>
      </c>
      <c r="AC23" s="241">
        <f t="shared" si="10"/>
        <v>0</v>
      </c>
      <c r="AD23" s="246"/>
      <c r="AE23" s="240">
        <v>30</v>
      </c>
      <c r="AF23" s="241">
        <f t="shared" si="11"/>
        <v>0</v>
      </c>
      <c r="AG23" s="241">
        <f t="shared" si="12"/>
        <v>0</v>
      </c>
      <c r="AH23" s="241">
        <f t="shared" si="13"/>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284">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691"/>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692" t="s">
        <v>8</v>
      </c>
      <c r="B25" s="692"/>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481" t="s">
        <v>140</v>
      </c>
      <c r="H29" s="481"/>
      <c r="I29" s="481" t="s">
        <v>145</v>
      </c>
      <c r="J29" s="481"/>
      <c r="K29" s="481" t="s">
        <v>128</v>
      </c>
      <c r="L29" s="481"/>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279">
        <v>991</v>
      </c>
      <c r="H30" s="279">
        <v>992</v>
      </c>
      <c r="I30" s="279">
        <v>991</v>
      </c>
      <c r="J30" s="279">
        <v>992</v>
      </c>
      <c r="K30" s="279">
        <v>991</v>
      </c>
      <c r="L30" s="279">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282"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 ref="AH6:AH7"/>
    <mergeCell ref="U9:U24"/>
    <mergeCell ref="A25:B25"/>
    <mergeCell ref="S6:S7"/>
    <mergeCell ref="T6:T7"/>
    <mergeCell ref="U6:U7"/>
    <mergeCell ref="V6:V7"/>
    <mergeCell ref="W6:W7"/>
    <mergeCell ref="X6:Z6"/>
    <mergeCell ref="L6:L7"/>
    <mergeCell ref="F6:F7"/>
    <mergeCell ref="G6:G7"/>
    <mergeCell ref="H6:H7"/>
    <mergeCell ref="I6:I7"/>
    <mergeCell ref="R6:R7"/>
    <mergeCell ref="G29:H29"/>
    <mergeCell ref="I29:J29"/>
    <mergeCell ref="K29:L29"/>
    <mergeCell ref="AA6:AC6"/>
    <mergeCell ref="J6:J7"/>
    <mergeCell ref="K6:K7"/>
  </mergeCells>
  <printOptions horizontalCentered="1"/>
  <pageMargins left="0" right="0" top="0" bottom="0" header="0.31496062992125984" footer="0.31496062992125984"/>
  <pageSetup paperSize="9" scale="39" orientation="landscape"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S68"/>
  <sheetViews>
    <sheetView view="pageBreakPreview" zoomScale="80" zoomScaleNormal="70" zoomScaleSheetLayoutView="80" workbookViewId="0">
      <pane xSplit="3" ySplit="8" topLeftCell="D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499"/>
      <c r="AF1" s="499"/>
      <c r="AG1" s="499"/>
      <c r="AH1" s="499"/>
    </row>
    <row r="2" spans="1:45" ht="24" customHeight="1" x14ac:dyDescent="0.25">
      <c r="A2" s="500" t="s">
        <v>163</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235"/>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287"/>
    </row>
    <row r="4" spans="1:45" x14ac:dyDescent="0.25">
      <c r="L4" s="38">
        <v>0.27208500000000002</v>
      </c>
      <c r="M4" s="38"/>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68</v>
      </c>
      <c r="E6" s="492" t="s">
        <v>69</v>
      </c>
      <c r="F6" s="492" t="s">
        <v>89</v>
      </c>
      <c r="G6" s="492" t="s">
        <v>1</v>
      </c>
      <c r="H6" s="492" t="s">
        <v>2</v>
      </c>
      <c r="I6" s="492" t="s">
        <v>70</v>
      </c>
      <c r="J6" s="492" t="s">
        <v>61</v>
      </c>
      <c r="K6" s="492" t="s">
        <v>27</v>
      </c>
      <c r="L6" s="495" t="s">
        <v>65</v>
      </c>
      <c r="M6" s="495" t="s">
        <v>86</v>
      </c>
      <c r="N6" s="496" t="s">
        <v>90</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286" t="s">
        <v>80</v>
      </c>
      <c r="O7" s="286" t="s">
        <v>81</v>
      </c>
      <c r="P7" s="496"/>
      <c r="Q7" s="495"/>
      <c r="R7" s="492"/>
      <c r="S7" s="495" t="s">
        <v>67</v>
      </c>
      <c r="T7" s="492"/>
      <c r="U7" s="492"/>
      <c r="V7" s="492"/>
      <c r="W7" s="492"/>
      <c r="X7" s="285" t="s">
        <v>5</v>
      </c>
      <c r="Y7" s="285" t="s">
        <v>6</v>
      </c>
      <c r="Z7" s="285" t="s">
        <v>74</v>
      </c>
      <c r="AA7" s="285" t="s">
        <v>5</v>
      </c>
      <c r="AB7" s="285" t="s">
        <v>6</v>
      </c>
      <c r="AC7" s="285" t="s">
        <v>75</v>
      </c>
      <c r="AD7" s="285" t="s">
        <v>5</v>
      </c>
      <c r="AE7" s="285" t="s">
        <v>6</v>
      </c>
      <c r="AF7" s="285" t="s">
        <v>76</v>
      </c>
      <c r="AG7" s="493"/>
      <c r="AH7" s="493"/>
      <c r="AK7" s="99" t="s">
        <v>64</v>
      </c>
      <c r="AL7" s="99" t="s">
        <v>62</v>
      </c>
      <c r="AM7" s="99" t="s">
        <v>63</v>
      </c>
    </row>
    <row r="8" spans="1:45" ht="18"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212" t="s">
        <v>116</v>
      </c>
      <c r="AO8" s="212" t="s">
        <v>117</v>
      </c>
      <c r="AP8" s="212" t="s">
        <v>118</v>
      </c>
      <c r="AQ8" s="212" t="s">
        <v>119</v>
      </c>
    </row>
    <row r="9" spans="1:45" ht="16.5" customHeight="1" x14ac:dyDescent="0.25">
      <c r="A9" s="284">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689">
        <v>1</v>
      </c>
      <c r="V9" s="95">
        <f t="shared" ref="V9:V26" si="9">T9*$U$9</f>
        <v>1557.6</v>
      </c>
      <c r="W9" s="95">
        <f>AQ9</f>
        <v>401.5</v>
      </c>
      <c r="X9" s="284">
        <v>1</v>
      </c>
      <c r="Y9" s="112">
        <v>30</v>
      </c>
      <c r="Z9" s="113">
        <f t="shared" ref="Z9:Z27" si="10">X9*Y9</f>
        <v>30</v>
      </c>
      <c r="AA9" s="284"/>
      <c r="AB9" s="112">
        <v>15</v>
      </c>
      <c r="AC9" s="113">
        <f t="shared" ref="AC9:AC27" si="11">AA9*AB9</f>
        <v>0</v>
      </c>
      <c r="AD9" s="284"/>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284">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690"/>
      <c r="V10" s="95">
        <f t="shared" si="9"/>
        <v>2754</v>
      </c>
      <c r="W10" s="95">
        <f>AQ10</f>
        <v>747.6</v>
      </c>
      <c r="X10" s="284"/>
      <c r="Y10" s="112">
        <v>30</v>
      </c>
      <c r="Z10" s="113">
        <f t="shared" si="10"/>
        <v>0</v>
      </c>
      <c r="AA10" s="284"/>
      <c r="AB10" s="112">
        <v>15</v>
      </c>
      <c r="AC10" s="113">
        <f t="shared" si="11"/>
        <v>0</v>
      </c>
      <c r="AD10" s="284"/>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284">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690"/>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284">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690"/>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284">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690"/>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284">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690"/>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284">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690"/>
      <c r="V15" s="95">
        <f t="shared" si="9"/>
        <v>588.29999999999995</v>
      </c>
      <c r="W15" s="95">
        <f t="shared" si="20"/>
        <v>177.7</v>
      </c>
      <c r="X15" s="284"/>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284">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690"/>
      <c r="V16" s="95">
        <f t="shared" si="9"/>
        <v>662.8</v>
      </c>
      <c r="W16" s="95">
        <f t="shared" si="20"/>
        <v>200.2</v>
      </c>
      <c r="X16" s="284"/>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284">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690"/>
      <c r="V17" s="95">
        <f t="shared" si="9"/>
        <v>668.4</v>
      </c>
      <c r="W17" s="95">
        <f t="shared" si="20"/>
        <v>201.9</v>
      </c>
      <c r="X17" s="284"/>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284">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690"/>
      <c r="V18" s="95">
        <f t="shared" si="9"/>
        <v>1198</v>
      </c>
      <c r="W18" s="95">
        <f t="shared" si="20"/>
        <v>361.8</v>
      </c>
      <c r="X18" s="284"/>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284">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690"/>
      <c r="V19" s="95">
        <f t="shared" si="9"/>
        <v>872</v>
      </c>
      <c r="W19" s="95">
        <f t="shared" si="20"/>
        <v>263.3</v>
      </c>
      <c r="X19" s="284"/>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284">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690"/>
      <c r="V20" s="95">
        <f t="shared" si="9"/>
        <v>779.2</v>
      </c>
      <c r="W20" s="95">
        <f t="shared" si="20"/>
        <v>235.3</v>
      </c>
      <c r="X20" s="284"/>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84">
        <v>13</v>
      </c>
      <c r="B21" s="52" t="s">
        <v>132</v>
      </c>
      <c r="C21" s="167">
        <v>1</v>
      </c>
      <c r="D21" s="177">
        <v>8.4730000000000008</v>
      </c>
      <c r="E21" s="171">
        <f t="shared" si="0"/>
        <v>8.4700000000000006</v>
      </c>
      <c r="F21" s="154">
        <f>E21*12</f>
        <v>101.6</v>
      </c>
      <c r="G21" s="154"/>
      <c r="H21" s="154">
        <f>4130.4/1000</f>
        <v>4.0999999999999996</v>
      </c>
      <c r="I21" s="154"/>
      <c r="J21" s="154"/>
      <c r="K21" s="154"/>
      <c r="L21" s="154">
        <f t="shared" si="18"/>
        <v>27.6</v>
      </c>
      <c r="M21" s="154">
        <f t="shared" si="2"/>
        <v>133.30000000000001</v>
      </c>
      <c r="N21" s="171">
        <v>0.47</v>
      </c>
      <c r="O21" s="154">
        <f t="shared" si="3"/>
        <v>62.7</v>
      </c>
      <c r="P21" s="154">
        <f t="shared" si="4"/>
        <v>196</v>
      </c>
      <c r="Q21" s="154">
        <f t="shared" si="5"/>
        <v>156.80000000000001</v>
      </c>
      <c r="R21" s="154">
        <f t="shared" si="6"/>
        <v>156.80000000000001</v>
      </c>
      <c r="S21" s="154">
        <f t="shared" si="7"/>
        <v>16.3</v>
      </c>
      <c r="T21" s="154">
        <f t="shared" si="8"/>
        <v>525.9</v>
      </c>
      <c r="U21" s="690"/>
      <c r="V21" s="154">
        <f>T21*$U$9</f>
        <v>525.9</v>
      </c>
      <c r="W21" s="95">
        <f t="shared" si="20"/>
        <v>158.80000000000001</v>
      </c>
      <c r="X21" s="278"/>
      <c r="Y21" s="24">
        <v>30</v>
      </c>
      <c r="Z21" s="48">
        <f t="shared" si="10"/>
        <v>0</v>
      </c>
      <c r="AA21" s="54"/>
      <c r="AB21" s="24">
        <v>15</v>
      </c>
      <c r="AC21" s="48">
        <f t="shared" si="11"/>
        <v>0</v>
      </c>
      <c r="AD21" s="54"/>
      <c r="AE21" s="24">
        <v>30</v>
      </c>
      <c r="AF21" s="48">
        <f t="shared" si="12"/>
        <v>0</v>
      </c>
      <c r="AG21" s="48">
        <f t="shared" si="13"/>
        <v>0</v>
      </c>
      <c r="AH21" s="48">
        <f t="shared" si="14"/>
        <v>0</v>
      </c>
      <c r="AI21" s="39">
        <f t="shared" si="15"/>
        <v>43825</v>
      </c>
      <c r="AK21" s="34">
        <f t="shared" si="16"/>
        <v>525.9</v>
      </c>
      <c r="AL21" s="34">
        <f t="shared" si="19"/>
        <v>213.2</v>
      </c>
      <c r="AM21" s="51">
        <v>0.30199999999999999</v>
      </c>
      <c r="AN21" s="211"/>
      <c r="AO21" s="211"/>
      <c r="AP21" s="211"/>
      <c r="AQ21" s="211"/>
      <c r="AS21" s="22">
        <f t="shared" si="17"/>
        <v>12.7095</v>
      </c>
    </row>
    <row r="22" spans="1:45" x14ac:dyDescent="0.25">
      <c r="A22" s="284">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690"/>
      <c r="V22" s="95">
        <f t="shared" si="9"/>
        <v>878.1</v>
      </c>
      <c r="W22" s="95">
        <f t="shared" si="20"/>
        <v>265.2</v>
      </c>
      <c r="X22" s="284">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284">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690"/>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284">
        <v>16</v>
      </c>
      <c r="B24" s="236" t="s">
        <v>102</v>
      </c>
      <c r="C24" s="174">
        <v>0.5</v>
      </c>
      <c r="D24" s="237">
        <v>4.3769999999999998</v>
      </c>
      <c r="E24" s="111">
        <f t="shared" si="0"/>
        <v>2.19</v>
      </c>
      <c r="F24" s="95">
        <f t="shared" si="1"/>
        <v>26.3</v>
      </c>
      <c r="G24" s="95"/>
      <c r="H24" s="95"/>
      <c r="I24" s="95"/>
      <c r="J24" s="95"/>
      <c r="K24" s="95"/>
      <c r="L24" s="95">
        <f t="shared" si="18"/>
        <v>7.2</v>
      </c>
      <c r="M24" s="95">
        <f t="shared" si="2"/>
        <v>33.5</v>
      </c>
      <c r="N24" s="111">
        <v>0.49</v>
      </c>
      <c r="O24" s="95">
        <f t="shared" si="3"/>
        <v>16.399999999999999</v>
      </c>
      <c r="P24" s="95">
        <f t="shared" si="4"/>
        <v>49.9</v>
      </c>
      <c r="Q24" s="95">
        <f t="shared" si="5"/>
        <v>39.9</v>
      </c>
      <c r="R24" s="95">
        <f t="shared" si="6"/>
        <v>39.9</v>
      </c>
      <c r="S24" s="95">
        <f t="shared" si="7"/>
        <v>4.2</v>
      </c>
      <c r="T24" s="95">
        <f t="shared" si="8"/>
        <v>133.9</v>
      </c>
      <c r="U24" s="690"/>
      <c r="V24" s="95">
        <f t="shared" si="9"/>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284">
        <v>17</v>
      </c>
      <c r="B25" s="236" t="s">
        <v>136</v>
      </c>
      <c r="C25" s="174">
        <v>0.5</v>
      </c>
      <c r="D25" s="237">
        <v>4.3769999999999998</v>
      </c>
      <c r="E25" s="111">
        <f t="shared" si="0"/>
        <v>2.19</v>
      </c>
      <c r="F25" s="95">
        <f t="shared" si="1"/>
        <v>26.3</v>
      </c>
      <c r="G25" s="95"/>
      <c r="H25" s="95"/>
      <c r="I25" s="95"/>
      <c r="J25" s="95"/>
      <c r="K25" s="95"/>
      <c r="L25" s="95">
        <f t="shared" si="18"/>
        <v>7.2</v>
      </c>
      <c r="M25" s="95">
        <f t="shared" si="2"/>
        <v>33.5</v>
      </c>
      <c r="N25" s="111">
        <v>0.49</v>
      </c>
      <c r="O25" s="95">
        <f t="shared" si="3"/>
        <v>16.399999999999999</v>
      </c>
      <c r="P25" s="95">
        <f t="shared" si="4"/>
        <v>49.9</v>
      </c>
      <c r="Q25" s="95">
        <f t="shared" si="5"/>
        <v>39.9</v>
      </c>
      <c r="R25" s="95">
        <f t="shared" si="6"/>
        <v>39.9</v>
      </c>
      <c r="S25" s="95">
        <f t="shared" si="7"/>
        <v>4.2</v>
      </c>
      <c r="T25" s="95">
        <f t="shared" si="8"/>
        <v>133.9</v>
      </c>
      <c r="U25" s="690"/>
      <c r="V25" s="95">
        <f t="shared" si="9"/>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284">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690"/>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284">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690"/>
      <c r="V27" s="95">
        <f>T27*$U$9+0.1</f>
        <v>725.3</v>
      </c>
      <c r="W27" s="95">
        <f t="shared" si="20"/>
        <v>219</v>
      </c>
      <c r="X27" s="284">
        <v>1</v>
      </c>
      <c r="Y27" s="112">
        <v>30</v>
      </c>
      <c r="Z27" s="113">
        <f t="shared" si="10"/>
        <v>30</v>
      </c>
      <c r="AA27" s="284"/>
      <c r="AB27" s="112">
        <v>15</v>
      </c>
      <c r="AC27" s="113">
        <f t="shared" si="11"/>
        <v>0</v>
      </c>
      <c r="AD27" s="284"/>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693" t="s">
        <v>8</v>
      </c>
      <c r="B28" s="693"/>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481" t="s">
        <v>140</v>
      </c>
      <c r="H31" s="481"/>
      <c r="I31" s="481" t="s">
        <v>145</v>
      </c>
      <c r="J31" s="481"/>
      <c r="K31" s="481" t="s">
        <v>128</v>
      </c>
      <c r="L31" s="481"/>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9">
        <v>991</v>
      </c>
      <c r="H32" s="279">
        <v>992</v>
      </c>
      <c r="I32" s="279">
        <v>991</v>
      </c>
      <c r="J32" s="279">
        <v>992</v>
      </c>
      <c r="K32" s="279">
        <v>991</v>
      </c>
      <c r="L32" s="279">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282"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 ref="AH6:AH7"/>
    <mergeCell ref="U9:U27"/>
    <mergeCell ref="A28:B28"/>
    <mergeCell ref="S6:S7"/>
    <mergeCell ref="T6:T7"/>
    <mergeCell ref="U6:U7"/>
    <mergeCell ref="V6:V7"/>
    <mergeCell ref="W6:W7"/>
    <mergeCell ref="X6:Z6"/>
    <mergeCell ref="L6:L7"/>
    <mergeCell ref="F6:F7"/>
    <mergeCell ref="G6:G7"/>
    <mergeCell ref="H6:H7"/>
    <mergeCell ref="I6:I7"/>
    <mergeCell ref="R6:R7"/>
    <mergeCell ref="G31:H31"/>
    <mergeCell ref="I31:J31"/>
    <mergeCell ref="K31:L31"/>
    <mergeCell ref="AA6:AC6"/>
    <mergeCell ref="J6:J7"/>
    <mergeCell ref="K6:K7"/>
  </mergeCells>
  <printOptions horizontalCentered="1"/>
  <pageMargins left="0" right="0" top="0" bottom="0" header="0.31496062992125984" footer="0.31496062992125984"/>
  <pageSetup paperSize="9" scale="37" orientation="landscape"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P74"/>
  <sheetViews>
    <sheetView view="pageBreakPreview" zoomScale="70" zoomScaleNormal="80" zoomScaleSheetLayoutView="70" workbookViewId="0">
      <pane xSplit="3" ySplit="8" topLeftCell="D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488"/>
      <c r="AF1" s="488"/>
      <c r="AG1" s="488"/>
      <c r="AH1" s="488"/>
    </row>
    <row r="2" spans="1:42" ht="33" customHeight="1" x14ac:dyDescent="0.25">
      <c r="A2" s="489" t="s">
        <v>154</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2"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283"/>
    </row>
    <row r="4" spans="1:42" x14ac:dyDescent="0.25">
      <c r="L4" s="22">
        <v>0.32216</v>
      </c>
      <c r="O4" s="39"/>
      <c r="P4" s="39"/>
    </row>
    <row r="5" spans="1:42" ht="38.25" customHeight="1" x14ac:dyDescent="0.25">
      <c r="A5" s="491" t="s">
        <v>78</v>
      </c>
      <c r="B5" s="491"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2" ht="60" customHeight="1" x14ac:dyDescent="0.25">
      <c r="A6" s="491"/>
      <c r="B6" s="491"/>
      <c r="C6" s="479"/>
      <c r="D6" s="478" t="s">
        <v>79</v>
      </c>
      <c r="E6" s="478" t="s">
        <v>69</v>
      </c>
      <c r="F6" s="478" t="s">
        <v>89</v>
      </c>
      <c r="G6" s="478" t="s">
        <v>1</v>
      </c>
      <c r="H6" s="478" t="s">
        <v>2</v>
      </c>
      <c r="I6" s="478" t="s">
        <v>70</v>
      </c>
      <c r="J6" s="478" t="s">
        <v>61</v>
      </c>
      <c r="K6" s="478" t="s">
        <v>27</v>
      </c>
      <c r="L6" s="482" t="s">
        <v>65</v>
      </c>
      <c r="M6" s="482" t="s">
        <v>86</v>
      </c>
      <c r="N6" s="483" t="s">
        <v>90</v>
      </c>
      <c r="O6" s="483"/>
      <c r="P6" s="483" t="s">
        <v>88</v>
      </c>
      <c r="Q6" s="482" t="s">
        <v>82</v>
      </c>
      <c r="R6" s="478" t="s">
        <v>83</v>
      </c>
      <c r="S6" s="482"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2" ht="57" customHeight="1" x14ac:dyDescent="0.25">
      <c r="A7" s="491"/>
      <c r="B7" s="491"/>
      <c r="C7" s="479"/>
      <c r="D7" s="478"/>
      <c r="E7" s="478"/>
      <c r="F7" s="478"/>
      <c r="G7" s="478"/>
      <c r="H7" s="478"/>
      <c r="I7" s="478"/>
      <c r="J7" s="478"/>
      <c r="K7" s="478"/>
      <c r="L7" s="482" t="s">
        <v>66</v>
      </c>
      <c r="M7" s="482"/>
      <c r="N7" s="281" t="s">
        <v>80</v>
      </c>
      <c r="O7" s="281" t="s">
        <v>81</v>
      </c>
      <c r="P7" s="483"/>
      <c r="Q7" s="482"/>
      <c r="R7" s="478"/>
      <c r="S7" s="482" t="s">
        <v>67</v>
      </c>
      <c r="T7" s="478"/>
      <c r="U7" s="478"/>
      <c r="V7" s="478"/>
      <c r="W7" s="478"/>
      <c r="X7" s="280" t="s">
        <v>5</v>
      </c>
      <c r="Y7" s="280" t="s">
        <v>6</v>
      </c>
      <c r="Z7" s="280" t="s">
        <v>74</v>
      </c>
      <c r="AA7" s="280" t="s">
        <v>5</v>
      </c>
      <c r="AB7" s="280" t="s">
        <v>6</v>
      </c>
      <c r="AC7" s="280" t="s">
        <v>75</v>
      </c>
      <c r="AD7" s="280" t="s">
        <v>5</v>
      </c>
      <c r="AE7" s="280" t="s">
        <v>6</v>
      </c>
      <c r="AF7" s="280" t="s">
        <v>76</v>
      </c>
      <c r="AG7" s="479"/>
      <c r="AH7" s="479"/>
      <c r="AJ7" s="33" t="s">
        <v>64</v>
      </c>
    </row>
    <row r="8" spans="1:42" ht="12.75" customHeight="1"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K8" s="43" t="s">
        <v>116</v>
      </c>
      <c r="AL8" s="43" t="s">
        <v>117</v>
      </c>
      <c r="AM8" s="43" t="s">
        <v>118</v>
      </c>
      <c r="AN8" s="43" t="s">
        <v>119</v>
      </c>
    </row>
    <row r="9" spans="1:42" ht="27" customHeight="1" x14ac:dyDescent="0.25">
      <c r="A9" s="278">
        <v>1</v>
      </c>
      <c r="B9" s="44" t="s">
        <v>21</v>
      </c>
      <c r="C9" s="278">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486">
        <v>1</v>
      </c>
      <c r="V9" s="49">
        <f>T9*$U$9</f>
        <v>2425.9</v>
      </c>
      <c r="W9" s="49">
        <f>AN9</f>
        <v>534.29999999999995</v>
      </c>
      <c r="X9" s="278">
        <v>1</v>
      </c>
      <c r="Y9" s="24">
        <v>30</v>
      </c>
      <c r="Z9" s="48">
        <f t="shared" ref="Z9:Z25" si="4">X9*Y9</f>
        <v>30</v>
      </c>
      <c r="AA9" s="278"/>
      <c r="AB9" s="24">
        <v>15</v>
      </c>
      <c r="AC9" s="48">
        <f t="shared" ref="AC9:AC25" si="5">AA9*AB9</f>
        <v>0</v>
      </c>
      <c r="AD9" s="278"/>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78">
        <v>2</v>
      </c>
      <c r="B10" s="44" t="s">
        <v>125</v>
      </c>
      <c r="C10" s="278">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487"/>
      <c r="V10" s="49">
        <f>T10*$U$9</f>
        <v>3482.1</v>
      </c>
      <c r="W10" s="49">
        <f>AN10</f>
        <v>1022.1</v>
      </c>
      <c r="X10" s="278">
        <v>2</v>
      </c>
      <c r="Y10" s="24">
        <v>30</v>
      </c>
      <c r="Z10" s="48">
        <f>X10*Y10</f>
        <v>60</v>
      </c>
      <c r="AA10" s="278">
        <v>1</v>
      </c>
      <c r="AB10" s="24">
        <v>15</v>
      </c>
      <c r="AC10" s="48">
        <f>AA10*AB10</f>
        <v>15</v>
      </c>
      <c r="AD10" s="278">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 t="shared" si="11"/>
        <v>184.6</v>
      </c>
      <c r="AN10" s="50">
        <f>SUM(AK10:AM10)</f>
        <v>1022.1</v>
      </c>
      <c r="AP10" s="51"/>
    </row>
    <row r="11" spans="1:42" ht="27" customHeight="1" x14ac:dyDescent="0.25">
      <c r="A11" s="278">
        <v>3</v>
      </c>
      <c r="B11" s="52" t="s">
        <v>23</v>
      </c>
      <c r="C11" s="278">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487"/>
      <c r="V11" s="49">
        <f t="shared" ref="V11:V25" si="18">T11*$U$9</f>
        <v>5864.1</v>
      </c>
      <c r="W11" s="49">
        <f>V11*0.302</f>
        <v>1771</v>
      </c>
      <c r="X11" s="278">
        <v>2</v>
      </c>
      <c r="Y11" s="24">
        <v>30</v>
      </c>
      <c r="Z11" s="48">
        <f t="shared" si="4"/>
        <v>60</v>
      </c>
      <c r="AA11" s="278">
        <v>3</v>
      </c>
      <c r="AB11" s="24">
        <v>15</v>
      </c>
      <c r="AC11" s="48">
        <f t="shared" si="5"/>
        <v>45</v>
      </c>
      <c r="AD11" s="278"/>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78">
        <v>4</v>
      </c>
      <c r="B12" s="52" t="s">
        <v>134</v>
      </c>
      <c r="C12" s="278">
        <v>1</v>
      </c>
      <c r="D12" s="53">
        <v>11.061999999999999</v>
      </c>
      <c r="E12" s="46">
        <f t="shared" si="13"/>
        <v>11.06</v>
      </c>
      <c r="F12" s="47">
        <f t="shared" si="14"/>
        <v>132.69999999999999</v>
      </c>
      <c r="G12" s="24"/>
      <c r="H12" s="24">
        <f>1078.5/1000</f>
        <v>1.1000000000000001</v>
      </c>
      <c r="I12" s="24"/>
      <c r="J12" s="24"/>
      <c r="K12" s="24"/>
      <c r="L12" s="24">
        <f t="shared" si="12"/>
        <v>42.8</v>
      </c>
      <c r="M12" s="24">
        <f t="shared" si="0"/>
        <v>176.6</v>
      </c>
      <c r="N12" s="48">
        <v>0.43</v>
      </c>
      <c r="O12" s="24">
        <f t="shared" si="1"/>
        <v>75.900000000000006</v>
      </c>
      <c r="P12" s="24">
        <f t="shared" si="15"/>
        <v>252.5</v>
      </c>
      <c r="Q12" s="24">
        <f t="shared" si="16"/>
        <v>202</v>
      </c>
      <c r="R12" s="24">
        <f t="shared" si="2"/>
        <v>202</v>
      </c>
      <c r="S12" s="24">
        <f t="shared" si="17"/>
        <v>21</v>
      </c>
      <c r="T12" s="49">
        <f t="shared" si="3"/>
        <v>677.5</v>
      </c>
      <c r="U12" s="487"/>
      <c r="V12" s="49">
        <f t="shared" si="18"/>
        <v>677.5</v>
      </c>
      <c r="W12" s="49">
        <f t="shared" ref="W12:W26" si="21">V12*0.302</f>
        <v>204.6</v>
      </c>
      <c r="X12" s="278"/>
      <c r="Y12" s="24">
        <v>30</v>
      </c>
      <c r="Z12" s="48">
        <f t="shared" si="4"/>
        <v>0</v>
      </c>
      <c r="AA12" s="278"/>
      <c r="AB12" s="24">
        <v>15</v>
      </c>
      <c r="AC12" s="48">
        <f t="shared" si="5"/>
        <v>0</v>
      </c>
      <c r="AD12" s="278"/>
      <c r="AE12" s="24">
        <v>30</v>
      </c>
      <c r="AF12" s="48">
        <f t="shared" si="6"/>
        <v>0</v>
      </c>
      <c r="AG12" s="48">
        <f>(Z12+AC12+AF12)*1%*30</f>
        <v>0</v>
      </c>
      <c r="AH12" s="48">
        <f t="shared" si="8"/>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78">
        <v>5</v>
      </c>
      <c r="B13" s="52" t="s">
        <v>17</v>
      </c>
      <c r="C13" s="278">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487"/>
      <c r="V13" s="49">
        <f t="shared" si="18"/>
        <v>1010.5</v>
      </c>
      <c r="W13" s="49">
        <f>AN13</f>
        <v>301</v>
      </c>
      <c r="X13" s="278">
        <v>1</v>
      </c>
      <c r="Y13" s="24">
        <v>30</v>
      </c>
      <c r="Z13" s="48">
        <f t="shared" si="4"/>
        <v>30</v>
      </c>
      <c r="AA13" s="278">
        <v>1</v>
      </c>
      <c r="AB13" s="24">
        <v>15</v>
      </c>
      <c r="AC13" s="48">
        <f t="shared" si="5"/>
        <v>15</v>
      </c>
      <c r="AD13" s="278">
        <v>1</v>
      </c>
      <c r="AE13" s="24">
        <v>30</v>
      </c>
      <c r="AF13" s="48">
        <f t="shared" si="6"/>
        <v>30</v>
      </c>
      <c r="AG13" s="48">
        <f t="shared" si="7"/>
        <v>22.5</v>
      </c>
      <c r="AH13" s="48">
        <f t="shared" si="8"/>
        <v>97.5</v>
      </c>
      <c r="AI13" s="34">
        <f t="shared" si="9"/>
        <v>84208.3</v>
      </c>
      <c r="AJ13" s="34">
        <f t="shared" si="10"/>
        <v>1010.5</v>
      </c>
      <c r="AK13" s="50">
        <f t="shared" si="19"/>
        <v>222.3</v>
      </c>
      <c r="AL13" s="50">
        <f>865*0.029*C13</f>
        <v>25.1</v>
      </c>
      <c r="AM13" s="50">
        <f t="shared" si="11"/>
        <v>53.6</v>
      </c>
      <c r="AN13" s="50">
        <f>SUM(AK13:AM13)</f>
        <v>301</v>
      </c>
      <c r="AP13" s="51"/>
    </row>
    <row r="14" spans="1:42" ht="34.5" customHeight="1" x14ac:dyDescent="0.25">
      <c r="A14" s="278">
        <v>6</v>
      </c>
      <c r="B14" s="52" t="s">
        <v>129</v>
      </c>
      <c r="C14" s="54">
        <v>1</v>
      </c>
      <c r="D14" s="53">
        <v>8.4730000000000008</v>
      </c>
      <c r="E14" s="46">
        <f>C14*D14</f>
        <v>8.4700000000000006</v>
      </c>
      <c r="F14" s="47">
        <f>E14*11</f>
        <v>93.2</v>
      </c>
      <c r="G14" s="24"/>
      <c r="H14" s="24">
        <f>826.1/1000</f>
        <v>0.8</v>
      </c>
      <c r="I14" s="24"/>
      <c r="J14" s="24"/>
      <c r="K14" s="24">
        <f>F14*0.2</f>
        <v>18.600000000000001</v>
      </c>
      <c r="L14" s="24">
        <f t="shared" si="12"/>
        <v>30</v>
      </c>
      <c r="M14" s="24">
        <f t="shared" si="0"/>
        <v>142.6</v>
      </c>
      <c r="N14" s="48">
        <v>0.41</v>
      </c>
      <c r="O14" s="24">
        <f t="shared" si="1"/>
        <v>58.5</v>
      </c>
      <c r="P14" s="24">
        <f t="shared" si="15"/>
        <v>201.1</v>
      </c>
      <c r="Q14" s="24">
        <f t="shared" si="16"/>
        <v>160.9</v>
      </c>
      <c r="R14" s="24">
        <f t="shared" si="2"/>
        <v>160.9</v>
      </c>
      <c r="S14" s="24">
        <f t="shared" si="17"/>
        <v>16.7</v>
      </c>
      <c r="T14" s="49">
        <f t="shared" si="3"/>
        <v>539.6</v>
      </c>
      <c r="U14" s="487"/>
      <c r="V14" s="49">
        <f>T14*$U$9</f>
        <v>539.6</v>
      </c>
      <c r="W14" s="49">
        <f t="shared" si="21"/>
        <v>163</v>
      </c>
      <c r="X14" s="278">
        <v>1</v>
      </c>
      <c r="Y14" s="24">
        <v>30</v>
      </c>
      <c r="Z14" s="48">
        <f t="shared" si="4"/>
        <v>30</v>
      </c>
      <c r="AA14" s="278">
        <v>1</v>
      </c>
      <c r="AB14" s="24">
        <v>15</v>
      </c>
      <c r="AC14" s="48">
        <f t="shared" si="5"/>
        <v>15</v>
      </c>
      <c r="AD14" s="278">
        <v>1</v>
      </c>
      <c r="AE14" s="24">
        <v>30</v>
      </c>
      <c r="AF14" s="48">
        <f t="shared" si="6"/>
        <v>30</v>
      </c>
      <c r="AG14" s="48">
        <f t="shared" si="7"/>
        <v>22.5</v>
      </c>
      <c r="AH14" s="48">
        <f t="shared" si="8"/>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78">
        <v>7</v>
      </c>
      <c r="B15" s="52" t="s">
        <v>22</v>
      </c>
      <c r="C15" s="278">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487"/>
      <c r="V15" s="49">
        <f>T15*$U$9</f>
        <v>881.4</v>
      </c>
      <c r="W15" s="49">
        <f>AN15</f>
        <v>265.7</v>
      </c>
      <c r="X15" s="278">
        <v>1</v>
      </c>
      <c r="Y15" s="24">
        <v>30</v>
      </c>
      <c r="Z15" s="48">
        <f>X15*Y15</f>
        <v>30</v>
      </c>
      <c r="AA15" s="278"/>
      <c r="AB15" s="24">
        <v>15</v>
      </c>
      <c r="AC15" s="48">
        <f>AA15*AB15</f>
        <v>0</v>
      </c>
      <c r="AD15" s="278"/>
      <c r="AE15" s="24">
        <v>30</v>
      </c>
      <c r="AF15" s="48">
        <f>AD15*AE15</f>
        <v>0</v>
      </c>
      <c r="AG15" s="48">
        <f>(Z15+AC15+AF15)*1%*30</f>
        <v>9</v>
      </c>
      <c r="AH15" s="48">
        <f>Z15+AC15+AF15+AG15</f>
        <v>39</v>
      </c>
      <c r="AI15" s="34">
        <f t="shared" si="9"/>
        <v>73450</v>
      </c>
      <c r="AJ15" s="34">
        <f t="shared" si="10"/>
        <v>881.4</v>
      </c>
      <c r="AK15" s="50">
        <f t="shared" si="19"/>
        <v>193.9</v>
      </c>
      <c r="AL15" s="50">
        <f>865*0.029*C15</f>
        <v>25.1</v>
      </c>
      <c r="AM15" s="50">
        <f t="shared" si="11"/>
        <v>46.7</v>
      </c>
      <c r="AN15" s="50">
        <f>SUM(AK15:AM15)</f>
        <v>265.7</v>
      </c>
      <c r="AP15" s="51"/>
    </row>
    <row r="16" spans="1:42" ht="27" customHeight="1" x14ac:dyDescent="0.25">
      <c r="A16" s="278">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487"/>
      <c r="V16" s="49">
        <f>T16*$U$9</f>
        <v>3180.3</v>
      </c>
      <c r="W16" s="49">
        <f t="shared" si="21"/>
        <v>960.5</v>
      </c>
      <c r="X16" s="278"/>
      <c r="Y16" s="24">
        <v>30</v>
      </c>
      <c r="Z16" s="48">
        <f t="shared" si="4"/>
        <v>0</v>
      </c>
      <c r="AA16" s="278"/>
      <c r="AB16" s="24">
        <v>15</v>
      </c>
      <c r="AC16" s="48">
        <f t="shared" si="5"/>
        <v>0</v>
      </c>
      <c r="AD16" s="278"/>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78">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487"/>
      <c r="V17" s="49">
        <f t="shared" si="18"/>
        <v>8537.6</v>
      </c>
      <c r="W17" s="49">
        <f t="shared" si="21"/>
        <v>2578.4</v>
      </c>
      <c r="X17" s="278">
        <v>10</v>
      </c>
      <c r="Y17" s="24">
        <v>30</v>
      </c>
      <c r="Z17" s="48">
        <f t="shared" si="4"/>
        <v>300</v>
      </c>
      <c r="AA17" s="278">
        <v>3</v>
      </c>
      <c r="AB17" s="24">
        <v>15</v>
      </c>
      <c r="AC17" s="48">
        <f t="shared" si="5"/>
        <v>45</v>
      </c>
      <c r="AD17" s="278">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78">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487"/>
      <c r="V18" s="49">
        <f>T18*$U$9</f>
        <v>5848.3</v>
      </c>
      <c r="W18" s="49">
        <f t="shared" si="21"/>
        <v>1766.2</v>
      </c>
      <c r="X18" s="278">
        <v>7</v>
      </c>
      <c r="Y18" s="24">
        <v>30</v>
      </c>
      <c r="Z18" s="48">
        <f>X18*Y18</f>
        <v>210</v>
      </c>
      <c r="AA18" s="278">
        <v>2</v>
      </c>
      <c r="AB18" s="24">
        <v>15</v>
      </c>
      <c r="AC18" s="48">
        <f>AA18*AB18</f>
        <v>30</v>
      </c>
      <c r="AD18" s="278">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78">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487"/>
      <c r="V19" s="49">
        <f t="shared" si="18"/>
        <v>1197</v>
      </c>
      <c r="W19" s="49">
        <f t="shared" si="21"/>
        <v>361.5</v>
      </c>
      <c r="X19" s="278">
        <v>2</v>
      </c>
      <c r="Y19" s="24">
        <v>30</v>
      </c>
      <c r="Z19" s="48">
        <f t="shared" si="4"/>
        <v>60</v>
      </c>
      <c r="AA19" s="278"/>
      <c r="AB19" s="24">
        <v>15</v>
      </c>
      <c r="AC19" s="48">
        <f t="shared" si="5"/>
        <v>0</v>
      </c>
      <c r="AD19" s="278"/>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78">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487"/>
      <c r="V20" s="49">
        <f t="shared" si="18"/>
        <v>660.1</v>
      </c>
      <c r="W20" s="49">
        <f t="shared" si="21"/>
        <v>199.4</v>
      </c>
      <c r="X20" s="278"/>
      <c r="Y20" s="24">
        <v>30</v>
      </c>
      <c r="Z20" s="48">
        <f t="shared" si="4"/>
        <v>0</v>
      </c>
      <c r="AA20" s="278"/>
      <c r="AB20" s="24">
        <v>15</v>
      </c>
      <c r="AC20" s="48">
        <f t="shared" si="5"/>
        <v>0</v>
      </c>
      <c r="AD20" s="278"/>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78">
        <v>13</v>
      </c>
      <c r="B21" s="52" t="s">
        <v>106</v>
      </c>
      <c r="C21" s="47">
        <v>1</v>
      </c>
      <c r="D21" s="53">
        <v>8.4730000000000008</v>
      </c>
      <c r="E21" s="46">
        <f t="shared" si="13"/>
        <v>8.4700000000000006</v>
      </c>
      <c r="F21" s="47">
        <f t="shared" si="14"/>
        <v>101.6</v>
      </c>
      <c r="G21" s="24"/>
      <c r="H21" s="24">
        <f>917.9/1000</f>
        <v>0.9</v>
      </c>
      <c r="I21" s="24"/>
      <c r="J21" s="24"/>
      <c r="K21" s="24"/>
      <c r="L21" s="24">
        <f t="shared" si="12"/>
        <v>32.700000000000003</v>
      </c>
      <c r="M21" s="24">
        <f t="shared" si="0"/>
        <v>135.19999999999999</v>
      </c>
      <c r="N21" s="48">
        <v>0.47</v>
      </c>
      <c r="O21" s="24">
        <f t="shared" si="1"/>
        <v>63.5</v>
      </c>
      <c r="P21" s="24">
        <f t="shared" si="15"/>
        <v>198.7</v>
      </c>
      <c r="Q21" s="24">
        <f t="shared" si="16"/>
        <v>159</v>
      </c>
      <c r="R21" s="24">
        <f t="shared" si="2"/>
        <v>159</v>
      </c>
      <c r="S21" s="24">
        <f t="shared" si="17"/>
        <v>16.5</v>
      </c>
      <c r="T21" s="49">
        <f t="shared" si="3"/>
        <v>533.20000000000005</v>
      </c>
      <c r="U21" s="487"/>
      <c r="V21" s="49">
        <f t="shared" si="18"/>
        <v>533.20000000000005</v>
      </c>
      <c r="W21" s="49">
        <f t="shared" si="21"/>
        <v>161</v>
      </c>
      <c r="X21" s="278"/>
      <c r="Y21" s="24">
        <v>30</v>
      </c>
      <c r="Z21" s="48">
        <f t="shared" si="4"/>
        <v>0</v>
      </c>
      <c r="AA21" s="278"/>
      <c r="AB21" s="24">
        <v>15</v>
      </c>
      <c r="AC21" s="48">
        <f t="shared" si="5"/>
        <v>0</v>
      </c>
      <c r="AD21" s="278"/>
      <c r="AE21" s="24">
        <v>30</v>
      </c>
      <c r="AF21" s="48">
        <f t="shared" si="6"/>
        <v>0</v>
      </c>
      <c r="AG21" s="48">
        <f t="shared" si="7"/>
        <v>0</v>
      </c>
      <c r="AH21" s="48">
        <f t="shared" si="8"/>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78">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487"/>
      <c r="V22" s="49">
        <f t="shared" si="18"/>
        <v>666.5</v>
      </c>
      <c r="W22" s="49">
        <f t="shared" si="21"/>
        <v>201.3</v>
      </c>
      <c r="X22" s="278">
        <v>2</v>
      </c>
      <c r="Y22" s="24">
        <v>30</v>
      </c>
      <c r="Z22" s="48">
        <f t="shared" si="4"/>
        <v>60</v>
      </c>
      <c r="AA22" s="278">
        <v>1</v>
      </c>
      <c r="AB22" s="24">
        <v>15</v>
      </c>
      <c r="AC22" s="48">
        <f t="shared" si="5"/>
        <v>15</v>
      </c>
      <c r="AD22" s="278"/>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78">
        <v>15</v>
      </c>
      <c r="B23" s="52" t="s">
        <v>20</v>
      </c>
      <c r="C23" s="47">
        <v>0.5</v>
      </c>
      <c r="D23" s="53">
        <v>8.4730000000000008</v>
      </c>
      <c r="E23" s="46">
        <f>C23*D23</f>
        <v>4.24</v>
      </c>
      <c r="F23" s="47">
        <f>E23*12</f>
        <v>50.9</v>
      </c>
      <c r="G23" s="24"/>
      <c r="H23" s="24"/>
      <c r="I23" s="24"/>
      <c r="J23" s="24"/>
      <c r="K23" s="24"/>
      <c r="L23" s="24">
        <f t="shared" si="12"/>
        <v>16.399999999999999</v>
      </c>
      <c r="M23" s="24">
        <f>F23+G23+H23+I23+J23+K23+L23</f>
        <v>67.3</v>
      </c>
      <c r="N23" s="48">
        <v>0.41</v>
      </c>
      <c r="O23" s="24">
        <f t="shared" si="1"/>
        <v>27.6</v>
      </c>
      <c r="P23" s="24">
        <f t="shared" si="15"/>
        <v>94.9</v>
      </c>
      <c r="Q23" s="24">
        <f t="shared" si="16"/>
        <v>75.900000000000006</v>
      </c>
      <c r="R23" s="24">
        <f t="shared" si="2"/>
        <v>75.900000000000006</v>
      </c>
      <c r="S23" s="24">
        <f t="shared" si="17"/>
        <v>7.9</v>
      </c>
      <c r="T23" s="49">
        <f t="shared" si="3"/>
        <v>254.6</v>
      </c>
      <c r="U23" s="487"/>
      <c r="V23" s="49">
        <f t="shared" si="18"/>
        <v>254.6</v>
      </c>
      <c r="W23" s="49">
        <f t="shared" si="21"/>
        <v>76.900000000000006</v>
      </c>
      <c r="X23" s="278"/>
      <c r="Y23" s="24">
        <v>30</v>
      </c>
      <c r="Z23" s="48">
        <f t="shared" si="4"/>
        <v>0</v>
      </c>
      <c r="AA23" s="278"/>
      <c r="AB23" s="24">
        <v>15</v>
      </c>
      <c r="AC23" s="48">
        <f t="shared" si="5"/>
        <v>0</v>
      </c>
      <c r="AD23" s="278"/>
      <c r="AE23" s="24">
        <v>30</v>
      </c>
      <c r="AF23" s="48">
        <f t="shared" si="6"/>
        <v>0</v>
      </c>
      <c r="AG23" s="48">
        <f t="shared" si="7"/>
        <v>0</v>
      </c>
      <c r="AH23" s="48">
        <f t="shared" si="8"/>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78">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487"/>
      <c r="V24" s="49">
        <f t="shared" si="18"/>
        <v>1236.5999999999999</v>
      </c>
      <c r="W24" s="49">
        <f t="shared" si="21"/>
        <v>373.5</v>
      </c>
      <c r="X24" s="278"/>
      <c r="Y24" s="24">
        <v>30</v>
      </c>
      <c r="Z24" s="48">
        <f t="shared" si="4"/>
        <v>0</v>
      </c>
      <c r="AA24" s="278"/>
      <c r="AB24" s="24">
        <v>15</v>
      </c>
      <c r="AC24" s="48">
        <f t="shared" si="5"/>
        <v>0</v>
      </c>
      <c r="AD24" s="278"/>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78">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487"/>
      <c r="V25" s="49">
        <f t="shared" si="18"/>
        <v>587.9</v>
      </c>
      <c r="W25" s="49">
        <f t="shared" si="21"/>
        <v>177.5</v>
      </c>
      <c r="X25" s="278"/>
      <c r="Y25" s="24">
        <v>30</v>
      </c>
      <c r="Z25" s="48">
        <f t="shared" si="4"/>
        <v>0</v>
      </c>
      <c r="AA25" s="278"/>
      <c r="AB25" s="24">
        <v>15</v>
      </c>
      <c r="AC25" s="48">
        <f t="shared" si="5"/>
        <v>0</v>
      </c>
      <c r="AD25" s="278"/>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78">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487"/>
      <c r="V26" s="49">
        <f>T26*$U$9</f>
        <v>1066</v>
      </c>
      <c r="W26" s="49">
        <f t="shared" si="21"/>
        <v>321.89999999999998</v>
      </c>
      <c r="X26" s="278"/>
      <c r="Y26" s="24">
        <v>30</v>
      </c>
      <c r="Z26" s="48">
        <f>X26*Y26</f>
        <v>0</v>
      </c>
      <c r="AA26" s="278"/>
      <c r="AB26" s="24">
        <v>15</v>
      </c>
      <c r="AC26" s="48">
        <f>AA26*AB26</f>
        <v>0</v>
      </c>
      <c r="AD26" s="278"/>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78">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487"/>
      <c r="V27" s="49">
        <f>T27*$U$9-0.2</f>
        <v>711.2</v>
      </c>
      <c r="W27" s="49">
        <f>V27*0.302</f>
        <v>214.8</v>
      </c>
      <c r="X27" s="278"/>
      <c r="Y27" s="24">
        <v>30</v>
      </c>
      <c r="Z27" s="48">
        <f>X27*Y27</f>
        <v>0</v>
      </c>
      <c r="AA27" s="278"/>
      <c r="AB27" s="24">
        <v>15</v>
      </c>
      <c r="AC27" s="48">
        <f>AA27*AB27</f>
        <v>0</v>
      </c>
      <c r="AD27" s="278"/>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476" t="s">
        <v>97</v>
      </c>
      <c r="B28" s="477"/>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481" t="s">
        <v>140</v>
      </c>
      <c r="H32" s="481"/>
      <c r="I32" s="484" t="s">
        <v>141</v>
      </c>
      <c r="J32" s="485"/>
      <c r="K32" s="484" t="s">
        <v>128</v>
      </c>
      <c r="L32" s="485"/>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79">
        <v>991</v>
      </c>
      <c r="H33" s="279">
        <v>992</v>
      </c>
      <c r="I33" s="279">
        <v>991</v>
      </c>
      <c r="J33" s="279">
        <v>992</v>
      </c>
      <c r="K33" s="279">
        <v>991</v>
      </c>
      <c r="L33" s="279">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282"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480"/>
      <c r="B41" s="480"/>
      <c r="C41" s="480"/>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AE1:AH1"/>
    <mergeCell ref="A2:AH2"/>
    <mergeCell ref="A3:AH3"/>
    <mergeCell ref="A5:A7"/>
    <mergeCell ref="B5:B7"/>
    <mergeCell ref="C5:C7"/>
    <mergeCell ref="D5:W5"/>
    <mergeCell ref="X5:AH5"/>
    <mergeCell ref="D6:D7"/>
    <mergeCell ref="E6:E7"/>
    <mergeCell ref="AD6:AF6"/>
    <mergeCell ref="AG6:AG7"/>
    <mergeCell ref="AH6:AH7"/>
    <mergeCell ref="V6:V7"/>
    <mergeCell ref="W6:W7"/>
    <mergeCell ref="X6:Z6"/>
    <mergeCell ref="G32:H32"/>
    <mergeCell ref="I32:J32"/>
    <mergeCell ref="K32:L32"/>
    <mergeCell ref="A41:C41"/>
    <mergeCell ref="AA6:AC6"/>
    <mergeCell ref="R6:R7"/>
    <mergeCell ref="F6:F7"/>
    <mergeCell ref="G6:G7"/>
    <mergeCell ref="H6:H7"/>
    <mergeCell ref="I6:I7"/>
    <mergeCell ref="U6:U7"/>
    <mergeCell ref="L6:L7"/>
    <mergeCell ref="M6:M7"/>
    <mergeCell ref="N6:O6"/>
    <mergeCell ref="P6:P7"/>
    <mergeCell ref="Q6:Q7"/>
    <mergeCell ref="J6:J7"/>
    <mergeCell ref="K6:K7"/>
    <mergeCell ref="U9:U27"/>
    <mergeCell ref="A28:B28"/>
    <mergeCell ref="S6:S7"/>
    <mergeCell ref="T6:T7"/>
  </mergeCells>
  <printOptions horizontalCentered="1"/>
  <pageMargins left="0.25" right="0.25" top="0.75" bottom="0.75" header="0.3" footer="0.3"/>
  <pageSetup paperSize="9" scale="33"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CC"/>
    <pageSetUpPr fitToPage="1"/>
  </sheetPr>
  <dimension ref="A2:N46"/>
  <sheetViews>
    <sheetView view="pageBreakPreview" zoomScale="80" zoomScaleSheetLayoutView="80" workbookViewId="0">
      <pane xSplit="1" ySplit="9" topLeftCell="B10"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59.6640625" style="7" customWidth="1"/>
    <col min="2" max="2" width="11.6640625" style="7" customWidth="1"/>
    <col min="3" max="3" width="14.6640625" style="7" customWidth="1"/>
    <col min="4" max="4" width="14" style="7" customWidth="1"/>
    <col min="5" max="11" width="14.77734375" style="13" customWidth="1"/>
    <col min="12" max="12" width="12.44140625" style="7" customWidth="1"/>
    <col min="13" max="13" width="13.33203125" style="7" customWidth="1"/>
    <col min="14" max="14" width="14.33203125" style="7" customWidth="1"/>
    <col min="15" max="15" width="11.44140625" style="7" bestFit="1" customWidth="1"/>
    <col min="16" max="16384" width="9.33203125" style="7"/>
  </cols>
  <sheetData>
    <row r="2" spans="1:14" x14ac:dyDescent="0.25">
      <c r="A2" s="459" t="s">
        <v>168</v>
      </c>
      <c r="B2" s="459"/>
      <c r="C2" s="459"/>
      <c r="D2" s="459"/>
      <c r="E2" s="459"/>
      <c r="F2" s="459"/>
      <c r="G2" s="459"/>
      <c r="H2" s="459"/>
      <c r="I2" s="459"/>
      <c r="J2" s="459"/>
      <c r="K2" s="459"/>
      <c r="L2" s="459"/>
      <c r="M2" s="459"/>
      <c r="N2" s="459"/>
    </row>
    <row r="4" spans="1:14" x14ac:dyDescent="0.25">
      <c r="A4" s="459" t="s">
        <v>169</v>
      </c>
      <c r="B4" s="459"/>
      <c r="C4" s="459"/>
      <c r="D4" s="459"/>
      <c r="E4" s="459"/>
      <c r="F4" s="459"/>
      <c r="G4" s="459"/>
      <c r="H4" s="459"/>
      <c r="I4" s="459"/>
      <c r="J4" s="459"/>
      <c r="K4" s="459"/>
      <c r="L4" s="459"/>
      <c r="M4" s="459"/>
      <c r="N4" s="459"/>
    </row>
    <row r="5" spans="1:14" x14ac:dyDescent="0.25">
      <c r="A5" s="275"/>
      <c r="B5" s="275"/>
      <c r="C5" s="275"/>
      <c r="D5" s="275"/>
      <c r="E5" s="275"/>
      <c r="F5" s="275"/>
      <c r="G5" s="275"/>
      <c r="H5" s="275"/>
      <c r="I5" s="275"/>
      <c r="J5" s="275"/>
      <c r="K5" s="275"/>
      <c r="L5" s="275"/>
      <c r="M5" s="275"/>
      <c r="N5" s="275"/>
    </row>
    <row r="6" spans="1:14" x14ac:dyDescent="0.25">
      <c r="A6" s="275"/>
      <c r="B6" s="275"/>
      <c r="C6" s="275"/>
      <c r="D6" s="275"/>
      <c r="E6" s="275"/>
      <c r="F6" s="275"/>
      <c r="G6" s="275"/>
      <c r="H6" s="275"/>
      <c r="I6" s="275"/>
      <c r="J6" s="275"/>
      <c r="K6" s="275"/>
      <c r="L6" s="275"/>
      <c r="M6" s="275"/>
      <c r="N6" s="275"/>
    </row>
    <row r="7" spans="1:14" x14ac:dyDescent="0.25">
      <c r="A7" s="7" t="s">
        <v>170</v>
      </c>
    </row>
    <row r="8" spans="1:14" ht="42.75" customHeight="1" x14ac:dyDescent="0.25">
      <c r="A8" s="469" t="s">
        <v>95</v>
      </c>
      <c r="B8" s="470" t="s">
        <v>98</v>
      </c>
      <c r="C8" s="472" t="s">
        <v>140</v>
      </c>
      <c r="D8" s="473"/>
      <c r="E8" s="474"/>
      <c r="F8" s="472" t="s">
        <v>152</v>
      </c>
      <c r="G8" s="473"/>
      <c r="H8" s="474"/>
      <c r="I8" s="472" t="s">
        <v>165</v>
      </c>
      <c r="J8" s="473"/>
      <c r="K8" s="474"/>
      <c r="L8" s="475" t="s">
        <v>120</v>
      </c>
      <c r="M8" s="475"/>
      <c r="N8" s="475"/>
    </row>
    <row r="9" spans="1:14" ht="27.75" customHeight="1" x14ac:dyDescent="0.25">
      <c r="A9" s="469"/>
      <c r="B9" s="471"/>
      <c r="C9" s="14">
        <v>991</v>
      </c>
      <c r="D9" s="14">
        <v>992</v>
      </c>
      <c r="E9" s="15">
        <v>911</v>
      </c>
      <c r="F9" s="21">
        <v>991</v>
      </c>
      <c r="G9" s="21">
        <v>992</v>
      </c>
      <c r="H9" s="15">
        <v>911</v>
      </c>
      <c r="I9" s="21">
        <v>991</v>
      </c>
      <c r="J9" s="21">
        <v>992</v>
      </c>
      <c r="K9" s="15">
        <v>911</v>
      </c>
      <c r="L9" s="19">
        <v>991</v>
      </c>
      <c r="M9" s="289">
        <v>992</v>
      </c>
      <c r="N9" s="19">
        <v>911</v>
      </c>
    </row>
    <row r="10" spans="1:14" s="13" customFormat="1" ht="38.25" customHeight="1" x14ac:dyDescent="0.25">
      <c r="A10" s="273" t="s">
        <v>111</v>
      </c>
      <c r="B10" s="8">
        <f>'музей 2020'!C28</f>
        <v>64.5</v>
      </c>
      <c r="C10" s="10">
        <f>'музей 2020'!G34</f>
        <v>39360.400000000001</v>
      </c>
      <c r="D10" s="10">
        <f>'музей 2020'!H34</f>
        <v>11661.7</v>
      </c>
      <c r="E10" s="10">
        <v>897</v>
      </c>
      <c r="F10" s="10"/>
      <c r="G10" s="10"/>
      <c r="H10" s="10"/>
      <c r="I10" s="10">
        <f>'музей 2020'!I34</f>
        <v>39360.400000000001</v>
      </c>
      <c r="J10" s="10">
        <f>'музей 2020'!J34+7.1</f>
        <v>11661.7</v>
      </c>
      <c r="K10" s="10">
        <f>'музей 2020'!AH28</f>
        <v>1677</v>
      </c>
      <c r="L10" s="10">
        <f t="shared" ref="L10:N11" si="0">C10-I10</f>
        <v>0</v>
      </c>
      <c r="M10" s="290">
        <f t="shared" si="0"/>
        <v>0</v>
      </c>
      <c r="N10" s="10">
        <f t="shared" si="0"/>
        <v>-780</v>
      </c>
    </row>
    <row r="11" spans="1:14" s="13" customFormat="1" x14ac:dyDescent="0.25">
      <c r="A11" s="273" t="s">
        <v>112</v>
      </c>
      <c r="B11" s="8">
        <f>'Родина 2020'!C21</f>
        <v>15.5</v>
      </c>
      <c r="C11" s="10">
        <f>'Родина 2020'!G28</f>
        <v>8874.7000000000007</v>
      </c>
      <c r="D11" s="10">
        <f>'Родина 2020'!H28</f>
        <v>2640.7</v>
      </c>
      <c r="E11" s="10">
        <v>546</v>
      </c>
      <c r="F11" s="10"/>
      <c r="G11" s="10"/>
      <c r="H11" s="10"/>
      <c r="I11" s="10">
        <f>'Родина 2020'!I28</f>
        <v>8874.7000000000007</v>
      </c>
      <c r="J11" s="10">
        <f>'Родина 2020'!J28+4.9</f>
        <v>2640.7</v>
      </c>
      <c r="K11" s="10">
        <f>'Родина 2020'!AH21</f>
        <v>253.5</v>
      </c>
      <c r="L11" s="10">
        <f t="shared" si="0"/>
        <v>0</v>
      </c>
      <c r="M11" s="290">
        <f t="shared" si="0"/>
        <v>0</v>
      </c>
      <c r="N11" s="10">
        <f t="shared" si="0"/>
        <v>292.5</v>
      </c>
    </row>
    <row r="12" spans="1:14" s="13" customFormat="1" x14ac:dyDescent="0.25">
      <c r="A12" s="273" t="s">
        <v>133</v>
      </c>
      <c r="B12" s="9" t="e">
        <f>#REF!</f>
        <v>#REF!</v>
      </c>
      <c r="C12" s="10" t="e">
        <f>#REF!</f>
        <v>#REF!</v>
      </c>
      <c r="D12" s="10" t="e">
        <f>#REF!</f>
        <v>#REF!</v>
      </c>
      <c r="E12" s="10">
        <v>3224</v>
      </c>
      <c r="F12" s="10" t="e">
        <f>#REF!</f>
        <v>#REF!</v>
      </c>
      <c r="G12" s="10" t="e">
        <f>#REF!</f>
        <v>#REF!</v>
      </c>
      <c r="H12" s="10"/>
      <c r="I12" s="10" t="e">
        <f>#REF!</f>
        <v>#REF!</v>
      </c>
      <c r="J12" s="10" t="e">
        <f>#REF!+39.9</f>
        <v>#REF!</v>
      </c>
      <c r="K12" s="10" t="e">
        <f>#REF!</f>
        <v>#REF!</v>
      </c>
      <c r="L12" s="10" t="e">
        <f t="shared" ref="L12:M14" si="1">C12-I12-F12</f>
        <v>#REF!</v>
      </c>
      <c r="M12" s="290" t="e">
        <f t="shared" si="1"/>
        <v>#REF!</v>
      </c>
      <c r="N12" s="10" t="e">
        <f>E12-K12-H12</f>
        <v>#REF!</v>
      </c>
    </row>
    <row r="13" spans="1:14" s="13" customFormat="1" x14ac:dyDescent="0.25">
      <c r="A13" s="273" t="s">
        <v>113</v>
      </c>
      <c r="B13" s="9">
        <f>'ГЦК+Энергия 2020'!C52</f>
        <v>59.75</v>
      </c>
      <c r="C13" s="10">
        <f>'ГЦК+Энергия 2020'!G57</f>
        <v>46179.199999999997</v>
      </c>
      <c r="D13" s="10">
        <f>'ГЦК+Энергия 2020'!H57</f>
        <v>13446.9</v>
      </c>
      <c r="E13" s="10">
        <v>1351.3</v>
      </c>
      <c r="F13" s="10">
        <f>'ГЦК+Энергия 2020'!I57</f>
        <v>678.3</v>
      </c>
      <c r="G13" s="10">
        <f>'ГЦК+Энергия 2020'!J57</f>
        <v>204.8</v>
      </c>
      <c r="H13" s="10"/>
      <c r="I13" s="10">
        <f>'ГЦК+Энергия 2020'!K57</f>
        <v>45500.9</v>
      </c>
      <c r="J13" s="10">
        <f>'ГЦК+Энергия 2020'!L57-106.6</f>
        <v>13242.1</v>
      </c>
      <c r="K13" s="10">
        <f>'ГЦК+Энергия 2020'!AH52</f>
        <v>1924</v>
      </c>
      <c r="L13" s="10">
        <f t="shared" si="1"/>
        <v>0</v>
      </c>
      <c r="M13" s="290">
        <f t="shared" si="1"/>
        <v>0</v>
      </c>
      <c r="N13" s="10">
        <f>E13-K13-H13</f>
        <v>-572.70000000000005</v>
      </c>
    </row>
    <row r="14" spans="1:14" s="13" customFormat="1" ht="19.5" customHeight="1" x14ac:dyDescent="0.25">
      <c r="A14" s="273" t="s">
        <v>114</v>
      </c>
      <c r="B14" s="9">
        <f>'Юбилейный 2020'!C25</f>
        <v>19</v>
      </c>
      <c r="C14" s="10">
        <f>'Юбилейный 2020'!G31</f>
        <v>14722.5</v>
      </c>
      <c r="D14" s="10">
        <f>'Юбилейный 2020'!H31</f>
        <v>4245.1000000000004</v>
      </c>
      <c r="E14" s="10">
        <v>429</v>
      </c>
      <c r="F14" s="10"/>
      <c r="G14" s="10"/>
      <c r="H14" s="10"/>
      <c r="I14" s="10">
        <f>'Юбилейный 2020'!I31</f>
        <v>14722.5</v>
      </c>
      <c r="J14" s="10">
        <f>'Юбилейный 2020'!J31-60.5</f>
        <v>4245.1000000000004</v>
      </c>
      <c r="K14" s="10">
        <f>'Юбилейный 2020'!AH25</f>
        <v>370.5</v>
      </c>
      <c r="L14" s="10">
        <f t="shared" si="1"/>
        <v>0</v>
      </c>
      <c r="M14" s="290">
        <f t="shared" si="1"/>
        <v>0</v>
      </c>
      <c r="N14" s="10">
        <f>E14-K14-H14</f>
        <v>58.5</v>
      </c>
    </row>
    <row r="15" spans="1:14" s="13" customFormat="1" ht="32.25" customHeight="1" x14ac:dyDescent="0.25">
      <c r="A15" s="273" t="s">
        <v>115</v>
      </c>
      <c r="B15" s="9">
        <f>'Высоцкий 2020'!C28</f>
        <v>25</v>
      </c>
      <c r="C15" s="10">
        <f>'Высоцкий 2020'!G33</f>
        <v>18394</v>
      </c>
      <c r="D15" s="10">
        <f>'Высоцкий 2020'!H33</f>
        <v>5393.9</v>
      </c>
      <c r="E15" s="10">
        <v>799.5</v>
      </c>
      <c r="F15" s="10"/>
      <c r="G15" s="10"/>
      <c r="H15" s="10"/>
      <c r="I15" s="10">
        <f>'Высоцкий 2020'!I33</f>
        <v>18394</v>
      </c>
      <c r="J15" s="10">
        <f>'Высоцкий 2020'!J33-6.9</f>
        <v>5393.9</v>
      </c>
      <c r="K15" s="10">
        <f>'Высоцкий 2020'!AH28</f>
        <v>448.5</v>
      </c>
      <c r="L15" s="10">
        <f>C15-I15</f>
        <v>0</v>
      </c>
      <c r="M15" s="290">
        <f>D15-J15</f>
        <v>0</v>
      </c>
      <c r="N15" s="10">
        <f>E15-K15</f>
        <v>351</v>
      </c>
    </row>
    <row r="16" spans="1:14" x14ac:dyDescent="0.25">
      <c r="A16" s="16" t="s">
        <v>99</v>
      </c>
      <c r="B16" s="17" t="e">
        <f>SUM(B10:B15)</f>
        <v>#REF!</v>
      </c>
      <c r="C16" s="18" t="e">
        <f t="shared" ref="C16:N16" si="2">SUM(C10:C15)</f>
        <v>#REF!</v>
      </c>
      <c r="D16" s="18" t="e">
        <f t="shared" si="2"/>
        <v>#REF!</v>
      </c>
      <c r="E16" s="18">
        <f t="shared" si="2"/>
        <v>7246.8</v>
      </c>
      <c r="F16" s="18" t="e">
        <f t="shared" si="2"/>
        <v>#REF!</v>
      </c>
      <c r="G16" s="18" t="e">
        <f t="shared" si="2"/>
        <v>#REF!</v>
      </c>
      <c r="H16" s="18">
        <f t="shared" si="2"/>
        <v>0</v>
      </c>
      <c r="I16" s="18" t="e">
        <f t="shared" si="2"/>
        <v>#REF!</v>
      </c>
      <c r="J16" s="18" t="e">
        <f t="shared" si="2"/>
        <v>#REF!</v>
      </c>
      <c r="K16" s="18" t="e">
        <f t="shared" si="2"/>
        <v>#REF!</v>
      </c>
      <c r="L16" s="18" t="e">
        <f t="shared" si="2"/>
        <v>#REF!</v>
      </c>
      <c r="M16" s="18" t="e">
        <f t="shared" si="2"/>
        <v>#REF!</v>
      </c>
      <c r="N16" s="18" t="e">
        <f t="shared" si="2"/>
        <v>#REF!</v>
      </c>
    </row>
    <row r="17" spans="1:14" x14ac:dyDescent="0.25">
      <c r="C17" s="11"/>
      <c r="D17" s="11"/>
      <c r="E17" s="12"/>
      <c r="F17" s="12"/>
      <c r="G17" s="12"/>
      <c r="H17" s="12"/>
      <c r="I17" s="12"/>
      <c r="J17" s="12"/>
      <c r="K17" s="12"/>
    </row>
    <row r="18" spans="1:14" x14ac:dyDescent="0.25">
      <c r="L18" s="459" t="s">
        <v>171</v>
      </c>
      <c r="M18" s="459"/>
      <c r="N18" s="459"/>
    </row>
    <row r="19" spans="1:14" s="20" customFormat="1" ht="21" x14ac:dyDescent="0.4">
      <c r="A19" s="1" t="s">
        <v>138</v>
      </c>
      <c r="C19" s="2"/>
      <c r="D19" s="6" t="s">
        <v>166</v>
      </c>
      <c r="E19" s="3"/>
      <c r="F19" s="4"/>
      <c r="G19" s="4"/>
      <c r="H19" s="5"/>
      <c r="I19" s="5"/>
      <c r="J19" s="4"/>
    </row>
    <row r="21" spans="1:14" x14ac:dyDescent="0.25">
      <c r="A21" s="7" t="s">
        <v>151</v>
      </c>
    </row>
    <row r="22" spans="1:14" s="11" customFormat="1" x14ac:dyDescent="0.25">
      <c r="D22" s="11" t="e">
        <f>D16-G16</f>
        <v>#REF!</v>
      </c>
      <c r="E22" s="12"/>
      <c r="F22" s="12"/>
      <c r="G22" s="12"/>
      <c r="H22" s="12"/>
      <c r="I22" s="12"/>
      <c r="J22" s="12"/>
      <c r="K22" s="12"/>
    </row>
    <row r="23" spans="1:14" s="11" customFormat="1" x14ac:dyDescent="0.25">
      <c r="E23" s="12"/>
      <c r="F23" s="12"/>
      <c r="G23" s="12"/>
      <c r="H23" s="12"/>
      <c r="I23" s="12"/>
      <c r="J23" s="12"/>
      <c r="K23" s="12"/>
    </row>
    <row r="24" spans="1:14" s="11" customFormat="1" x14ac:dyDescent="0.25">
      <c r="E24" s="12"/>
      <c r="F24" s="12"/>
      <c r="G24" s="12"/>
      <c r="H24" s="12"/>
      <c r="I24" s="12"/>
      <c r="J24" s="12"/>
      <c r="K24" s="12"/>
    </row>
    <row r="25" spans="1:14" s="11" customFormat="1" x14ac:dyDescent="0.25">
      <c r="E25" s="12"/>
      <c r="F25" s="12"/>
      <c r="G25" s="12"/>
      <c r="H25" s="12"/>
      <c r="I25" s="12"/>
      <c r="J25" s="12"/>
      <c r="K25" s="12"/>
    </row>
    <row r="26" spans="1:14" s="11" customFormat="1" x14ac:dyDescent="0.25">
      <c r="E26" s="12"/>
      <c r="F26" s="12"/>
      <c r="G26" s="12"/>
      <c r="H26" s="12"/>
      <c r="I26" s="12"/>
      <c r="J26" s="12"/>
      <c r="K26" s="12"/>
    </row>
    <row r="27" spans="1:14" s="11" customFormat="1" x14ac:dyDescent="0.25">
      <c r="E27" s="12"/>
      <c r="F27" s="12"/>
      <c r="G27" s="12"/>
      <c r="H27" s="12"/>
      <c r="I27" s="12"/>
      <c r="J27" s="12"/>
      <c r="K27" s="12"/>
    </row>
    <row r="28" spans="1:14" s="11" customFormat="1" x14ac:dyDescent="0.25">
      <c r="E28" s="12"/>
      <c r="F28" s="12"/>
      <c r="G28" s="12"/>
      <c r="H28" s="12"/>
      <c r="I28" s="12"/>
      <c r="J28" s="12"/>
      <c r="K28" s="12"/>
    </row>
    <row r="29" spans="1:14" s="11" customFormat="1" x14ac:dyDescent="0.25">
      <c r="E29" s="12"/>
      <c r="F29" s="12"/>
      <c r="G29" s="12"/>
      <c r="H29" s="12"/>
      <c r="I29" s="12"/>
      <c r="J29" s="12"/>
      <c r="K29" s="12"/>
    </row>
    <row r="30" spans="1:14" s="11" customFormat="1" x14ac:dyDescent="0.25">
      <c r="E30" s="12"/>
      <c r="F30" s="12"/>
      <c r="G30" s="12"/>
      <c r="H30" s="12"/>
      <c r="I30" s="12"/>
      <c r="J30" s="12"/>
      <c r="K30" s="12"/>
    </row>
    <row r="31" spans="1:14" s="11" customFormat="1" x14ac:dyDescent="0.25">
      <c r="E31" s="12"/>
      <c r="F31" s="12"/>
      <c r="G31" s="12"/>
      <c r="H31" s="12"/>
      <c r="I31" s="12"/>
      <c r="J31" s="12"/>
      <c r="K31" s="12"/>
    </row>
    <row r="32" spans="1:14" s="11" customFormat="1" x14ac:dyDescent="0.25">
      <c r="E32" s="12"/>
      <c r="F32" s="12"/>
      <c r="G32" s="12"/>
      <c r="H32" s="12"/>
      <c r="I32" s="12"/>
      <c r="J32" s="12"/>
      <c r="K32" s="12"/>
    </row>
    <row r="33" spans="5:11" s="11" customFormat="1" x14ac:dyDescent="0.25">
      <c r="E33" s="12"/>
      <c r="F33" s="12"/>
      <c r="G33" s="12"/>
      <c r="H33" s="12"/>
      <c r="I33" s="12"/>
      <c r="J33" s="12"/>
      <c r="K33" s="12"/>
    </row>
    <row r="34" spans="5:11" s="11" customFormat="1" x14ac:dyDescent="0.25">
      <c r="E34" s="12"/>
      <c r="F34" s="12"/>
      <c r="G34" s="12"/>
      <c r="H34" s="12"/>
      <c r="I34" s="12"/>
      <c r="J34" s="12"/>
      <c r="K34" s="12"/>
    </row>
    <row r="35" spans="5:11" s="11" customFormat="1" x14ac:dyDescent="0.25">
      <c r="E35" s="12"/>
      <c r="F35" s="12"/>
      <c r="G35" s="12"/>
      <c r="H35" s="12"/>
      <c r="I35" s="12"/>
      <c r="J35" s="12"/>
      <c r="K35" s="12"/>
    </row>
    <row r="36" spans="5:11" s="11" customFormat="1" x14ac:dyDescent="0.25">
      <c r="E36" s="12"/>
      <c r="F36" s="12"/>
      <c r="G36" s="12"/>
      <c r="H36" s="12"/>
      <c r="I36" s="12"/>
      <c r="J36" s="12"/>
      <c r="K36" s="12"/>
    </row>
    <row r="37" spans="5:11" s="11" customFormat="1" x14ac:dyDescent="0.25">
      <c r="E37" s="12"/>
      <c r="F37" s="12"/>
      <c r="G37" s="12"/>
      <c r="H37" s="12"/>
      <c r="I37" s="12"/>
      <c r="J37" s="12"/>
      <c r="K37" s="12"/>
    </row>
    <row r="38" spans="5:11" s="11" customFormat="1" x14ac:dyDescent="0.25">
      <c r="E38" s="12"/>
      <c r="F38" s="12"/>
      <c r="G38" s="12"/>
      <c r="H38" s="12"/>
      <c r="I38" s="12"/>
      <c r="J38" s="12"/>
      <c r="K38" s="12"/>
    </row>
    <row r="39" spans="5:11" s="11" customFormat="1" x14ac:dyDescent="0.25">
      <c r="E39" s="12"/>
      <c r="F39" s="12"/>
      <c r="G39" s="12"/>
      <c r="H39" s="12"/>
      <c r="I39" s="12"/>
      <c r="J39" s="12"/>
      <c r="K39" s="12"/>
    </row>
    <row r="40" spans="5:11" s="11" customFormat="1" x14ac:dyDescent="0.25">
      <c r="E40" s="12"/>
      <c r="F40" s="12"/>
      <c r="G40" s="12"/>
      <c r="H40" s="12"/>
      <c r="I40" s="12"/>
      <c r="J40" s="12"/>
      <c r="K40" s="12"/>
    </row>
    <row r="41" spans="5:11" s="11" customFormat="1" x14ac:dyDescent="0.25">
      <c r="E41" s="12"/>
      <c r="F41" s="12"/>
      <c r="G41" s="12"/>
      <c r="H41" s="12"/>
      <c r="I41" s="12"/>
      <c r="J41" s="12"/>
      <c r="K41" s="12"/>
    </row>
    <row r="42" spans="5:11" s="11" customFormat="1" x14ac:dyDescent="0.25">
      <c r="E42" s="12"/>
      <c r="F42" s="12"/>
      <c r="G42" s="12"/>
      <c r="H42" s="12"/>
      <c r="I42" s="12"/>
      <c r="J42" s="12"/>
      <c r="K42" s="12"/>
    </row>
    <row r="43" spans="5:11" s="11" customFormat="1" x14ac:dyDescent="0.25">
      <c r="E43" s="12"/>
      <c r="F43" s="12"/>
      <c r="G43" s="12"/>
      <c r="H43" s="12"/>
      <c r="I43" s="12"/>
      <c r="J43" s="12"/>
      <c r="K43" s="12"/>
    </row>
    <row r="44" spans="5:11" s="11" customFormat="1" x14ac:dyDescent="0.25">
      <c r="E44" s="12"/>
      <c r="F44" s="12"/>
      <c r="G44" s="12"/>
      <c r="H44" s="12"/>
      <c r="I44" s="12"/>
      <c r="J44" s="12"/>
      <c r="K44" s="12"/>
    </row>
    <row r="45" spans="5:11" s="11" customFormat="1" x14ac:dyDescent="0.25">
      <c r="E45" s="12"/>
      <c r="F45" s="12"/>
      <c r="G45" s="12"/>
      <c r="H45" s="12"/>
      <c r="I45" s="12"/>
      <c r="J45" s="12"/>
      <c r="K45" s="12"/>
    </row>
    <row r="46" spans="5:11" s="11" customFormat="1" x14ac:dyDescent="0.25">
      <c r="E46" s="12"/>
      <c r="F46" s="12"/>
      <c r="G46" s="12"/>
      <c r="H46" s="12"/>
      <c r="I46" s="12"/>
      <c r="J46" s="12"/>
      <c r="K46" s="12"/>
    </row>
  </sheetData>
  <mergeCells count="9">
    <mergeCell ref="L18:N18"/>
    <mergeCell ref="A2:N2"/>
    <mergeCell ref="A4:N4"/>
    <mergeCell ref="L8:N8"/>
    <mergeCell ref="A8:A9"/>
    <mergeCell ref="B8:B9"/>
    <mergeCell ref="C8:E8"/>
    <mergeCell ref="F8:H8"/>
    <mergeCell ref="I8:K8"/>
  </mergeCells>
  <pageMargins left="0.19685039370078741" right="0.19685039370078741" top="0.74803149606299213" bottom="0.74803149606299213" header="0.31496062992125984" footer="0.31496062992125984"/>
  <pageSetup paperSize="9" scale="66"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43"/>
  <sheetViews>
    <sheetView view="pageBreakPreview" zoomScale="80" zoomScaleSheetLayoutView="80" workbookViewId="0">
      <pane xSplit="3" ySplit="8" topLeftCell="U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499"/>
      <c r="AF1" s="499"/>
      <c r="AG1" s="499"/>
      <c r="AH1" s="499"/>
    </row>
    <row r="2" spans="1:45" ht="24" customHeight="1" x14ac:dyDescent="0.25">
      <c r="A2" s="500" t="s">
        <v>156</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row>
    <row r="4" spans="1:45" x14ac:dyDescent="0.25">
      <c r="L4" s="102">
        <v>3.8399999999999997E-2</v>
      </c>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79</v>
      </c>
      <c r="E6" s="492" t="s">
        <v>69</v>
      </c>
      <c r="F6" s="492" t="s">
        <v>89</v>
      </c>
      <c r="G6" s="492" t="s">
        <v>1</v>
      </c>
      <c r="H6" s="492" t="s">
        <v>2</v>
      </c>
      <c r="I6" s="492" t="s">
        <v>70</v>
      </c>
      <c r="J6" s="492" t="s">
        <v>61</v>
      </c>
      <c r="K6" s="492" t="s">
        <v>27</v>
      </c>
      <c r="L6" s="495" t="s">
        <v>65</v>
      </c>
      <c r="M6" s="495" t="s">
        <v>86</v>
      </c>
      <c r="N6" s="496" t="s">
        <v>91</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286" t="s">
        <v>80</v>
      </c>
      <c r="O7" s="286" t="s">
        <v>81</v>
      </c>
      <c r="P7" s="496"/>
      <c r="Q7" s="495"/>
      <c r="R7" s="492"/>
      <c r="S7" s="495" t="s">
        <v>67</v>
      </c>
      <c r="T7" s="492"/>
      <c r="U7" s="492"/>
      <c r="V7" s="492"/>
      <c r="W7" s="492"/>
      <c r="X7" s="285" t="s">
        <v>5</v>
      </c>
      <c r="Y7" s="285" t="s">
        <v>6</v>
      </c>
      <c r="Z7" s="285" t="s">
        <v>74</v>
      </c>
      <c r="AA7" s="285" t="s">
        <v>5</v>
      </c>
      <c r="AB7" s="285" t="s">
        <v>6</v>
      </c>
      <c r="AC7" s="285" t="s">
        <v>75</v>
      </c>
      <c r="AD7" s="285" t="s">
        <v>5</v>
      </c>
      <c r="AE7" s="285" t="s">
        <v>6</v>
      </c>
      <c r="AF7" s="285" t="s">
        <v>76</v>
      </c>
      <c r="AG7" s="493"/>
      <c r="AH7" s="493"/>
      <c r="AK7" s="98" t="s">
        <v>64</v>
      </c>
      <c r="AL7" s="98" t="s">
        <v>62</v>
      </c>
      <c r="AM7" s="98" t="s">
        <v>63</v>
      </c>
    </row>
    <row r="8" spans="1:45"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43" t="s">
        <v>116</v>
      </c>
      <c r="AO8" s="43" t="s">
        <v>117</v>
      </c>
      <c r="AP8" s="43" t="s">
        <v>118</v>
      </c>
      <c r="AQ8" s="43" t="s">
        <v>119</v>
      </c>
    </row>
    <row r="9" spans="1:45" ht="16.5" customHeight="1" x14ac:dyDescent="0.25">
      <c r="A9" s="284">
        <v>1</v>
      </c>
      <c r="B9" s="106" t="s">
        <v>21</v>
      </c>
      <c r="C9" s="28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497">
        <v>1</v>
      </c>
      <c r="V9" s="95">
        <f>T9*$U$9</f>
        <v>1348</v>
      </c>
      <c r="W9" s="95">
        <f>AQ9</f>
        <v>369.3</v>
      </c>
      <c r="X9" s="284">
        <v>1</v>
      </c>
      <c r="Y9" s="112">
        <v>30</v>
      </c>
      <c r="Z9" s="113">
        <f t="shared" ref="Z9:Z20" si="8">X9*Y9</f>
        <v>30</v>
      </c>
      <c r="AA9" s="284"/>
      <c r="AB9" s="112">
        <v>15</v>
      </c>
      <c r="AC9" s="113">
        <f t="shared" ref="AC9:AC20" si="9">AA9*AB9</f>
        <v>0</v>
      </c>
      <c r="AD9" s="28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284">
        <v>2</v>
      </c>
      <c r="B10" s="106" t="s">
        <v>125</v>
      </c>
      <c r="C10" s="28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498"/>
      <c r="V10" s="95">
        <f>T10*$U$9</f>
        <v>1138.3</v>
      </c>
      <c r="W10" s="95">
        <f>AQ10</f>
        <v>337.2</v>
      </c>
      <c r="X10" s="284"/>
      <c r="Y10" s="112">
        <v>30</v>
      </c>
      <c r="Z10" s="113">
        <f t="shared" si="8"/>
        <v>0</v>
      </c>
      <c r="AA10" s="284"/>
      <c r="AB10" s="112">
        <v>15</v>
      </c>
      <c r="AC10" s="113">
        <f t="shared" si="9"/>
        <v>0</v>
      </c>
      <c r="AD10" s="28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28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498"/>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28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498"/>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28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498"/>
      <c r="V13" s="95">
        <f>T13*$U$9</f>
        <v>1033.8</v>
      </c>
      <c r="W13" s="95">
        <f t="shared" si="19"/>
        <v>312.2</v>
      </c>
      <c r="X13" s="28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28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498"/>
      <c r="V14" s="95">
        <f t="shared" si="18"/>
        <v>528.9</v>
      </c>
      <c r="W14" s="95">
        <f t="shared" si="19"/>
        <v>159.69999999999999</v>
      </c>
      <c r="X14" s="28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28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498"/>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28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498"/>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28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498"/>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28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498"/>
      <c r="V18" s="96">
        <f t="shared" si="18"/>
        <v>1247.4000000000001</v>
      </c>
      <c r="W18" s="95">
        <f t="shared" si="19"/>
        <v>376.7</v>
      </c>
      <c r="X18" s="284">
        <v>1</v>
      </c>
      <c r="Y18" s="112">
        <v>30</v>
      </c>
      <c r="Z18" s="113">
        <f t="shared" si="8"/>
        <v>30</v>
      </c>
      <c r="AA18" s="284"/>
      <c r="AB18" s="112">
        <v>15</v>
      </c>
      <c r="AC18" s="113">
        <f t="shared" si="9"/>
        <v>0</v>
      </c>
      <c r="AD18" s="28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28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498"/>
      <c r="V19" s="96">
        <f t="shared" si="18"/>
        <v>240.1</v>
      </c>
      <c r="W19" s="95">
        <f t="shared" si="19"/>
        <v>72.5</v>
      </c>
      <c r="X19" s="284"/>
      <c r="Y19" s="112">
        <v>30</v>
      </c>
      <c r="Z19" s="113">
        <f t="shared" si="8"/>
        <v>0</v>
      </c>
      <c r="AA19" s="284"/>
      <c r="AB19" s="112">
        <v>15</v>
      </c>
      <c r="AC19" s="113">
        <f t="shared" si="9"/>
        <v>0</v>
      </c>
      <c r="AD19" s="28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28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498"/>
      <c r="V20" s="96">
        <f>T20*$U$9</f>
        <v>152.19999999999999</v>
      </c>
      <c r="W20" s="95">
        <f t="shared" si="19"/>
        <v>46</v>
      </c>
      <c r="X20" s="284"/>
      <c r="Y20" s="112">
        <v>30</v>
      </c>
      <c r="Z20" s="113">
        <f t="shared" si="8"/>
        <v>0</v>
      </c>
      <c r="AA20" s="284"/>
      <c r="AB20" s="112">
        <v>15</v>
      </c>
      <c r="AC20" s="113">
        <f t="shared" si="9"/>
        <v>0</v>
      </c>
      <c r="AD20" s="28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494" t="s">
        <v>8</v>
      </c>
      <c r="B21" s="494"/>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481" t="s">
        <v>140</v>
      </c>
      <c r="H26" s="481"/>
      <c r="I26" s="481" t="s">
        <v>141</v>
      </c>
      <c r="J26" s="481"/>
      <c r="K26" s="481" t="s">
        <v>128</v>
      </c>
      <c r="L26" s="481"/>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79">
        <v>991</v>
      </c>
      <c r="H27" s="279">
        <v>992</v>
      </c>
      <c r="I27" s="279">
        <v>991</v>
      </c>
      <c r="J27" s="279">
        <v>992</v>
      </c>
      <c r="K27" s="279">
        <v>991</v>
      </c>
      <c r="L27" s="279">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282"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 ref="AH6:AH7"/>
    <mergeCell ref="U9:U20"/>
    <mergeCell ref="A21:B21"/>
    <mergeCell ref="S6:S7"/>
    <mergeCell ref="T6:T7"/>
    <mergeCell ref="U6:U7"/>
    <mergeCell ref="V6:V7"/>
    <mergeCell ref="W6:W7"/>
    <mergeCell ref="X6:Z6"/>
    <mergeCell ref="L6:L7"/>
    <mergeCell ref="F6:F7"/>
    <mergeCell ref="G6:G7"/>
    <mergeCell ref="H6:H7"/>
    <mergeCell ref="I6:I7"/>
    <mergeCell ref="R6:R7"/>
    <mergeCell ref="G26:H26"/>
    <mergeCell ref="I26:J26"/>
    <mergeCell ref="K26:L26"/>
    <mergeCell ref="AA6:AC6"/>
    <mergeCell ref="J6:J7"/>
    <mergeCell ref="K6:K7"/>
  </mergeCells>
  <printOptions horizontalCentered="1"/>
  <pageMargins left="0" right="0" top="0" bottom="0" header="0.31496062992125984" footer="0.31496062992125984"/>
  <pageSetup paperSize="9" scale="38"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57"/>
  <sheetViews>
    <sheetView view="pageBreakPreview" zoomScale="80" zoomScaleNormal="80" zoomScaleSheetLayoutView="80" workbookViewId="0">
      <pane xSplit="3" ySplit="8" topLeftCell="V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6.77734375" style="33" customWidth="1"/>
    <col min="2" max="2" width="30.77734375" style="22" customWidth="1"/>
    <col min="3" max="3" width="13.77734375" style="22" customWidth="1"/>
    <col min="4" max="4" width="12.77734375" style="22" customWidth="1"/>
    <col min="5" max="5" width="13" style="22" customWidth="1"/>
    <col min="6" max="6" width="14.6640625" style="22" customWidth="1"/>
    <col min="7" max="7" width="12.33203125" style="22" customWidth="1"/>
    <col min="8" max="8" width="13.33203125" style="22" customWidth="1"/>
    <col min="9" max="9" width="15.77734375" style="22" customWidth="1"/>
    <col min="10" max="11" width="13.77734375" style="22" customWidth="1"/>
    <col min="12" max="12" width="13.33203125" style="22" customWidth="1"/>
    <col min="13" max="13" width="12.77734375" style="22" customWidth="1"/>
    <col min="14" max="14" width="11.44140625" style="22" customWidth="1"/>
    <col min="15" max="15" width="14.77734375" style="22" customWidth="1"/>
    <col min="16" max="16" width="15.33203125" style="22" customWidth="1"/>
    <col min="17" max="17" width="14.77734375" style="22" customWidth="1"/>
    <col min="18" max="18" width="13.6640625" style="22" customWidth="1"/>
    <col min="19" max="19" width="15.33203125" style="22" customWidth="1"/>
    <col min="20" max="20" width="12.33203125" style="22" customWidth="1"/>
    <col min="21" max="21" width="11.6640625" style="22" customWidth="1"/>
    <col min="22" max="22" width="13" style="22" customWidth="1"/>
    <col min="23" max="23" width="12.6640625" style="22" customWidth="1"/>
    <col min="24" max="24" width="13.33203125" style="22" customWidth="1"/>
    <col min="25" max="25" width="12.77734375" style="22" customWidth="1"/>
    <col min="26" max="26" width="13" style="22" customWidth="1"/>
    <col min="27" max="27" width="12.33203125" style="22" customWidth="1"/>
    <col min="28" max="28" width="11.33203125" style="22" customWidth="1"/>
    <col min="29" max="29" width="9.6640625" style="22" customWidth="1"/>
    <col min="30" max="30" width="11" style="22" customWidth="1"/>
    <col min="31" max="31" width="9.33203125" style="22" customWidth="1"/>
    <col min="32" max="32" width="9.77734375" style="22" customWidth="1"/>
    <col min="33" max="33" width="14" style="22" customWidth="1"/>
    <col min="34" max="34" width="12.33203125" style="22" customWidth="1"/>
    <col min="35" max="35" width="11.109375" style="34" customWidth="1"/>
    <col min="36" max="36" width="9.33203125" style="22"/>
    <col min="37" max="37" width="12.6640625" style="22" customWidth="1"/>
    <col min="38" max="38" width="11.6640625" style="22" hidden="1" customWidth="1"/>
    <col min="39" max="39" width="13.6640625" style="22" hidden="1" customWidth="1"/>
    <col min="40" max="42" width="9.33203125" style="22"/>
    <col min="43" max="43" width="14" style="22" bestFit="1" customWidth="1"/>
    <col min="44" max="16384" width="9.33203125" style="22"/>
  </cols>
  <sheetData>
    <row r="1" spans="1:45" ht="12.75" customHeight="1" x14ac:dyDescent="0.25">
      <c r="AE1" s="499"/>
      <c r="AF1" s="499"/>
      <c r="AG1" s="499"/>
      <c r="AH1" s="499"/>
    </row>
    <row r="2" spans="1:45" ht="24" customHeight="1" x14ac:dyDescent="0.25">
      <c r="A2" s="489" t="s">
        <v>158</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5"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283"/>
    </row>
    <row r="4" spans="1:45" x14ac:dyDescent="0.25">
      <c r="L4" s="38">
        <v>0.34311000000000003</v>
      </c>
    </row>
    <row r="5" spans="1:45" ht="38.25" customHeight="1" x14ac:dyDescent="0.25">
      <c r="A5" s="502" t="s">
        <v>78</v>
      </c>
      <c r="B5" s="502"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5" ht="60" customHeight="1" x14ac:dyDescent="0.25">
      <c r="A6" s="502"/>
      <c r="B6" s="502"/>
      <c r="C6" s="479"/>
      <c r="D6" s="478" t="s">
        <v>68</v>
      </c>
      <c r="E6" s="478" t="s">
        <v>69</v>
      </c>
      <c r="F6" s="478" t="s">
        <v>89</v>
      </c>
      <c r="G6" s="478" t="s">
        <v>1</v>
      </c>
      <c r="H6" s="478" t="s">
        <v>2</v>
      </c>
      <c r="I6" s="478" t="s">
        <v>70</v>
      </c>
      <c r="J6" s="478" t="s">
        <v>61</v>
      </c>
      <c r="K6" s="478" t="s">
        <v>27</v>
      </c>
      <c r="L6" s="694" t="s">
        <v>65</v>
      </c>
      <c r="M6" s="694" t="s">
        <v>86</v>
      </c>
      <c r="N6" s="699" t="s">
        <v>91</v>
      </c>
      <c r="O6" s="699"/>
      <c r="P6" s="699" t="s">
        <v>88</v>
      </c>
      <c r="Q6" s="694" t="s">
        <v>82</v>
      </c>
      <c r="R6" s="478" t="s">
        <v>83</v>
      </c>
      <c r="S6" s="694"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5" ht="107.25" customHeight="1" x14ac:dyDescent="0.25">
      <c r="A7" s="502"/>
      <c r="B7" s="502"/>
      <c r="C7" s="479"/>
      <c r="D7" s="478"/>
      <c r="E7" s="478"/>
      <c r="F7" s="478"/>
      <c r="G7" s="478"/>
      <c r="H7" s="478"/>
      <c r="I7" s="478"/>
      <c r="J7" s="478"/>
      <c r="K7" s="478"/>
      <c r="L7" s="694" t="s">
        <v>66</v>
      </c>
      <c r="M7" s="694"/>
      <c r="N7" s="288" t="s">
        <v>80</v>
      </c>
      <c r="O7" s="288" t="s">
        <v>81</v>
      </c>
      <c r="P7" s="699"/>
      <c r="Q7" s="694"/>
      <c r="R7" s="478"/>
      <c r="S7" s="694" t="s">
        <v>67</v>
      </c>
      <c r="T7" s="478"/>
      <c r="U7" s="478"/>
      <c r="V7" s="478"/>
      <c r="W7" s="478"/>
      <c r="X7" s="280" t="s">
        <v>5</v>
      </c>
      <c r="Y7" s="280" t="s">
        <v>6</v>
      </c>
      <c r="Z7" s="280" t="s">
        <v>74</v>
      </c>
      <c r="AA7" s="280" t="s">
        <v>5</v>
      </c>
      <c r="AB7" s="280" t="s">
        <v>6</v>
      </c>
      <c r="AC7" s="280" t="s">
        <v>75</v>
      </c>
      <c r="AD7" s="280" t="s">
        <v>5</v>
      </c>
      <c r="AE7" s="280" t="s">
        <v>6</v>
      </c>
      <c r="AF7" s="280" t="s">
        <v>76</v>
      </c>
      <c r="AG7" s="479"/>
      <c r="AH7" s="479"/>
      <c r="AK7" s="22" t="s">
        <v>64</v>
      </c>
      <c r="AL7" s="22" t="s">
        <v>62</v>
      </c>
      <c r="AM7" s="165"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43" t="s">
        <v>116</v>
      </c>
      <c r="AO8" s="43" t="s">
        <v>117</v>
      </c>
      <c r="AP8" s="43" t="s">
        <v>118</v>
      </c>
      <c r="AQ8" s="43" t="s">
        <v>119</v>
      </c>
    </row>
    <row r="9" spans="1:45" ht="16.5" customHeight="1" x14ac:dyDescent="0.25">
      <c r="A9" s="278">
        <v>1</v>
      </c>
      <c r="B9" s="166" t="s">
        <v>14</v>
      </c>
      <c r="C9" s="167">
        <v>1</v>
      </c>
      <c r="D9" s="168">
        <v>22.876999999999999</v>
      </c>
      <c r="E9" s="169">
        <f>C9*D9</f>
        <v>22.88</v>
      </c>
      <c r="F9" s="170">
        <f>E9*12</f>
        <v>274.60000000000002</v>
      </c>
      <c r="G9" s="154"/>
      <c r="H9" s="154"/>
      <c r="I9" s="154"/>
      <c r="J9" s="154"/>
      <c r="K9" s="154">
        <f>F9*0.4</f>
        <v>109.8</v>
      </c>
      <c r="L9" s="154">
        <f>F9*$L$4</f>
        <v>94.2</v>
      </c>
      <c r="M9" s="154">
        <f>F9+G9+H9+I9+J9+K9+L9</f>
        <v>478.6</v>
      </c>
      <c r="N9" s="171">
        <v>0.47</v>
      </c>
      <c r="O9" s="154">
        <f>M9*N9</f>
        <v>224.9</v>
      </c>
      <c r="P9" s="154">
        <f>M9+O9</f>
        <v>703.5</v>
      </c>
      <c r="Q9" s="154">
        <f>P9*0.8</f>
        <v>562.79999999999995</v>
      </c>
      <c r="R9" s="154">
        <f>P9*0.8</f>
        <v>562.79999999999995</v>
      </c>
      <c r="S9" s="154">
        <f>(P9+Q9+R9)*0.032</f>
        <v>58.5</v>
      </c>
      <c r="T9" s="154">
        <f>P9+Q9+R9+S9</f>
        <v>1887.6</v>
      </c>
      <c r="U9" s="695">
        <v>1</v>
      </c>
      <c r="V9" s="155">
        <f t="shared" ref="V9:V21" si="0">T9*$U$9</f>
        <v>1887.6</v>
      </c>
      <c r="W9" s="155">
        <f>AQ9</f>
        <v>451.9</v>
      </c>
      <c r="X9" s="278"/>
      <c r="Y9" s="24">
        <v>30</v>
      </c>
      <c r="Z9" s="48">
        <f t="shared" ref="Z9:Z22" si="1">X9*Y9</f>
        <v>0</v>
      </c>
      <c r="AA9" s="278"/>
      <c r="AB9" s="24">
        <v>15</v>
      </c>
      <c r="AC9" s="48">
        <f t="shared" ref="AC9:AC22" si="2">AA9*AB9</f>
        <v>0</v>
      </c>
      <c r="AD9" s="278"/>
      <c r="AE9" s="24">
        <v>30</v>
      </c>
      <c r="AF9" s="48">
        <f t="shared" ref="AF9:AF22" si="3">AD9*AE9</f>
        <v>0</v>
      </c>
      <c r="AG9" s="48">
        <f t="shared" ref="AG9:AG22" si="4">(Z9+AC9+AF9)*1%*30</f>
        <v>0</v>
      </c>
      <c r="AH9" s="48">
        <f t="shared" ref="AH9:AH22" si="5">Z9+AC9+AF9+AG9</f>
        <v>0</v>
      </c>
      <c r="AI9" s="34">
        <f t="shared" ref="AI9:AI22" si="6">V9/12/C9*1000</f>
        <v>157300</v>
      </c>
      <c r="AJ9" s="34"/>
      <c r="AK9" s="34">
        <f t="shared" ref="AK9:AK22" si="7">V9/C9</f>
        <v>1887.6</v>
      </c>
      <c r="AL9" s="34">
        <f>((979*0.302)+((AK9-979)*0.182))</f>
        <v>461</v>
      </c>
      <c r="AM9" s="51">
        <f>AL9/AK9</f>
        <v>0.24399999999999999</v>
      </c>
      <c r="AN9" s="116">
        <f>1150*0.22*C9+(V9-1150*C9)*0.1</f>
        <v>326.8</v>
      </c>
      <c r="AO9" s="116">
        <f>865*0.029*C9</f>
        <v>25.1</v>
      </c>
      <c r="AP9" s="116">
        <f>AK9*0.053</f>
        <v>100</v>
      </c>
      <c r="AQ9" s="116">
        <f>SUM(AN9:AP9)</f>
        <v>451.9</v>
      </c>
      <c r="AS9" s="51">
        <f t="shared" ref="AS9:AS22" si="8">D9*1.5</f>
        <v>34.316000000000003</v>
      </c>
    </row>
    <row r="10" spans="1:45" ht="13.8" x14ac:dyDescent="0.25">
      <c r="A10" s="278">
        <v>2</v>
      </c>
      <c r="B10" s="166" t="s">
        <v>125</v>
      </c>
      <c r="C10" s="167">
        <v>2</v>
      </c>
      <c r="D10" s="168">
        <v>16.013999999999999</v>
      </c>
      <c r="E10" s="169">
        <f>C10*D10</f>
        <v>32.03</v>
      </c>
      <c r="F10" s="170">
        <f t="shared" ref="F10:F22" si="9">E10*12</f>
        <v>384.4</v>
      </c>
      <c r="G10" s="154"/>
      <c r="H10" s="154"/>
      <c r="I10" s="154">
        <f>D10*0.25*12</f>
        <v>48</v>
      </c>
      <c r="J10" s="154"/>
      <c r="K10" s="154">
        <f>D10*0.25*12+D10*0.4*12+D10*0.05*4</f>
        <v>128.1</v>
      </c>
      <c r="L10" s="154">
        <f t="shared" ref="L10:L21" si="10">F10*$L$4</f>
        <v>131.9</v>
      </c>
      <c r="M10" s="154">
        <f t="shared" ref="M10:M22" si="11">F10+G10+H10+I10+J10+K10+L10</f>
        <v>692.4</v>
      </c>
      <c r="N10" s="171">
        <v>0.47</v>
      </c>
      <c r="O10" s="154">
        <f t="shared" ref="O10:O22" si="12">M10*N10</f>
        <v>325.39999999999998</v>
      </c>
      <c r="P10" s="154">
        <f t="shared" ref="P10:P22" si="13">M10+O10</f>
        <v>1017.8</v>
      </c>
      <c r="Q10" s="154">
        <f t="shared" ref="Q10:Q22" si="14">P10*0.8</f>
        <v>814.2</v>
      </c>
      <c r="R10" s="154">
        <f t="shared" ref="R10:R22" si="15">P10*0.8</f>
        <v>814.2</v>
      </c>
      <c r="S10" s="154">
        <f t="shared" ref="S10:S22" si="16">(P10+Q10+R10)*0.032</f>
        <v>84.7</v>
      </c>
      <c r="T10" s="154">
        <f t="shared" ref="T10:T22" si="17">P10+Q10+R10+S10</f>
        <v>2730.9</v>
      </c>
      <c r="U10" s="696"/>
      <c r="V10" s="155">
        <f t="shared" si="0"/>
        <v>2730.9</v>
      </c>
      <c r="W10" s="155">
        <f>AQ10</f>
        <v>744</v>
      </c>
      <c r="X10" s="278"/>
      <c r="Y10" s="24">
        <v>30</v>
      </c>
      <c r="Z10" s="48">
        <f t="shared" si="1"/>
        <v>0</v>
      </c>
      <c r="AA10" s="278">
        <v>1</v>
      </c>
      <c r="AB10" s="24">
        <v>15</v>
      </c>
      <c r="AC10" s="48">
        <f t="shared" si="2"/>
        <v>15</v>
      </c>
      <c r="AD10" s="278"/>
      <c r="AE10" s="24">
        <v>30</v>
      </c>
      <c r="AF10" s="48">
        <f t="shared" si="3"/>
        <v>0</v>
      </c>
      <c r="AG10" s="48">
        <f t="shared" si="4"/>
        <v>4.5</v>
      </c>
      <c r="AH10" s="48">
        <f t="shared" si="5"/>
        <v>19.5</v>
      </c>
      <c r="AI10" s="34">
        <f t="shared" si="6"/>
        <v>113787.5</v>
      </c>
      <c r="AJ10" s="34"/>
      <c r="AK10" s="34">
        <f t="shared" si="7"/>
        <v>1365.5</v>
      </c>
      <c r="AL10" s="34">
        <f t="shared" ref="AL10:AL22" si="18">((979*0.302)+((AK10-979)*0.182))</f>
        <v>366</v>
      </c>
      <c r="AM10" s="51">
        <f>AL10/AK10</f>
        <v>0.26800000000000002</v>
      </c>
      <c r="AN10" s="116">
        <f>1150*0.22*C10+(V10-1150*C10)*0.1</f>
        <v>549.1</v>
      </c>
      <c r="AO10" s="116">
        <f>865*0.029*C10</f>
        <v>50.2</v>
      </c>
      <c r="AP10" s="116">
        <f>AK10*0.053*2</f>
        <v>144.69999999999999</v>
      </c>
      <c r="AQ10" s="116">
        <f>SUM(AN10:AP10)</f>
        <v>744</v>
      </c>
      <c r="AS10" s="51">
        <f t="shared" si="8"/>
        <v>24.021000000000001</v>
      </c>
    </row>
    <row r="11" spans="1:45" ht="13.8" x14ac:dyDescent="0.25">
      <c r="A11" s="278">
        <v>3</v>
      </c>
      <c r="B11" s="106" t="s">
        <v>33</v>
      </c>
      <c r="C11" s="172">
        <v>1</v>
      </c>
      <c r="D11" s="173">
        <v>8.4730000000000008</v>
      </c>
      <c r="E11" s="171">
        <f t="shared" ref="E11:E22" si="19">C11*D11</f>
        <v>8.4700000000000006</v>
      </c>
      <c r="F11" s="154">
        <f t="shared" si="9"/>
        <v>101.6</v>
      </c>
      <c r="G11" s="154"/>
      <c r="H11" s="154"/>
      <c r="I11" s="154"/>
      <c r="J11" s="154"/>
      <c r="K11" s="154">
        <f>D11*0.2*5</f>
        <v>8.5</v>
      </c>
      <c r="L11" s="154">
        <f t="shared" si="10"/>
        <v>34.9</v>
      </c>
      <c r="M11" s="154">
        <f t="shared" si="11"/>
        <v>145</v>
      </c>
      <c r="N11" s="171">
        <v>0.41</v>
      </c>
      <c r="O11" s="154">
        <f t="shared" si="12"/>
        <v>59.5</v>
      </c>
      <c r="P11" s="154">
        <f t="shared" si="13"/>
        <v>204.5</v>
      </c>
      <c r="Q11" s="154">
        <f t="shared" si="14"/>
        <v>163.6</v>
      </c>
      <c r="R11" s="154">
        <f t="shared" si="15"/>
        <v>163.6</v>
      </c>
      <c r="S11" s="154">
        <f t="shared" si="16"/>
        <v>17</v>
      </c>
      <c r="T11" s="154">
        <f t="shared" si="17"/>
        <v>548.70000000000005</v>
      </c>
      <c r="U11" s="696"/>
      <c r="V11" s="155">
        <f t="shared" si="0"/>
        <v>548.70000000000005</v>
      </c>
      <c r="W11" s="155">
        <f>V11*0.302</f>
        <v>165.7</v>
      </c>
      <c r="X11" s="162"/>
      <c r="Y11" s="163">
        <v>30</v>
      </c>
      <c r="Z11" s="164">
        <f t="shared" si="1"/>
        <v>0</v>
      </c>
      <c r="AA11" s="162"/>
      <c r="AB11" s="163">
        <v>15</v>
      </c>
      <c r="AC11" s="164">
        <f t="shared" si="2"/>
        <v>0</v>
      </c>
      <c r="AD11" s="162"/>
      <c r="AE11" s="163">
        <v>30</v>
      </c>
      <c r="AF11" s="164">
        <f t="shared" si="3"/>
        <v>0</v>
      </c>
      <c r="AG11" s="164">
        <f t="shared" si="4"/>
        <v>0</v>
      </c>
      <c r="AH11" s="164">
        <f t="shared" si="5"/>
        <v>0</v>
      </c>
      <c r="AI11" s="34">
        <f t="shared" si="6"/>
        <v>45725</v>
      </c>
      <c r="AJ11" s="34"/>
      <c r="AK11" s="34">
        <f t="shared" si="7"/>
        <v>548.70000000000005</v>
      </c>
      <c r="AL11" s="34">
        <f t="shared" si="18"/>
        <v>217.3</v>
      </c>
      <c r="AM11" s="51">
        <v>0.30199999999999999</v>
      </c>
      <c r="AO11" s="116"/>
      <c r="AP11" s="116"/>
      <c r="AQ11" s="116"/>
      <c r="AS11" s="51">
        <f t="shared" si="8"/>
        <v>12.71</v>
      </c>
    </row>
    <row r="12" spans="1:45" ht="13.8" x14ac:dyDescent="0.25">
      <c r="A12" s="278">
        <v>4</v>
      </c>
      <c r="B12" s="106" t="s">
        <v>105</v>
      </c>
      <c r="C12" s="172">
        <v>2</v>
      </c>
      <c r="D12" s="173">
        <v>8.4730000000000008</v>
      </c>
      <c r="E12" s="171">
        <f t="shared" si="19"/>
        <v>16.95</v>
      </c>
      <c r="F12" s="154">
        <f t="shared" si="9"/>
        <v>203.4</v>
      </c>
      <c r="G12" s="154"/>
      <c r="H12" s="154"/>
      <c r="I12" s="154"/>
      <c r="J12" s="154"/>
      <c r="K12" s="154">
        <f>F12*0.35</f>
        <v>71.2</v>
      </c>
      <c r="L12" s="154">
        <f t="shared" si="10"/>
        <v>69.8</v>
      </c>
      <c r="M12" s="154">
        <f t="shared" si="11"/>
        <v>344.4</v>
      </c>
      <c r="N12" s="171">
        <v>0.41</v>
      </c>
      <c r="O12" s="154">
        <f t="shared" si="12"/>
        <v>141.19999999999999</v>
      </c>
      <c r="P12" s="154">
        <f t="shared" si="13"/>
        <v>485.6</v>
      </c>
      <c r="Q12" s="154">
        <f t="shared" si="14"/>
        <v>388.5</v>
      </c>
      <c r="R12" s="154">
        <f t="shared" si="15"/>
        <v>388.5</v>
      </c>
      <c r="S12" s="154">
        <f t="shared" si="16"/>
        <v>40.4</v>
      </c>
      <c r="T12" s="154">
        <f t="shared" si="17"/>
        <v>1303</v>
      </c>
      <c r="U12" s="696"/>
      <c r="V12" s="155">
        <f t="shared" si="0"/>
        <v>1303</v>
      </c>
      <c r="W12" s="155">
        <f t="shared" ref="W12:W22" si="20">V12*0.302</f>
        <v>393.5</v>
      </c>
      <c r="X12" s="162">
        <v>2</v>
      </c>
      <c r="Y12" s="163">
        <v>30</v>
      </c>
      <c r="Z12" s="164">
        <f t="shared" si="1"/>
        <v>60</v>
      </c>
      <c r="AA12" s="162"/>
      <c r="AB12" s="163">
        <v>15</v>
      </c>
      <c r="AC12" s="164">
        <f t="shared" si="2"/>
        <v>0</v>
      </c>
      <c r="AD12" s="162"/>
      <c r="AE12" s="163">
        <v>30</v>
      </c>
      <c r="AF12" s="164">
        <f t="shared" si="3"/>
        <v>0</v>
      </c>
      <c r="AG12" s="164">
        <f t="shared" si="4"/>
        <v>18</v>
      </c>
      <c r="AH12" s="164">
        <f t="shared" si="5"/>
        <v>78</v>
      </c>
      <c r="AI12" s="34">
        <f t="shared" si="6"/>
        <v>54291.7</v>
      </c>
      <c r="AJ12" s="34"/>
      <c r="AK12" s="34">
        <f t="shared" si="7"/>
        <v>651.5</v>
      </c>
      <c r="AL12" s="34">
        <f t="shared" si="18"/>
        <v>236.1</v>
      </c>
      <c r="AM12" s="51">
        <v>0.30199999999999999</v>
      </c>
      <c r="AQ12" s="116"/>
      <c r="AS12" s="51">
        <f t="shared" si="8"/>
        <v>12.71</v>
      </c>
    </row>
    <row r="13" spans="1:45" ht="13.8" x14ac:dyDescent="0.25">
      <c r="A13" s="278">
        <v>5</v>
      </c>
      <c r="B13" s="166" t="s">
        <v>15</v>
      </c>
      <c r="C13" s="174">
        <v>6</v>
      </c>
      <c r="D13" s="175">
        <v>11.061999999999999</v>
      </c>
      <c r="E13" s="171">
        <f t="shared" si="19"/>
        <v>66.37</v>
      </c>
      <c r="F13" s="154">
        <f t="shared" si="9"/>
        <v>796.4</v>
      </c>
      <c r="G13" s="154"/>
      <c r="H13" s="154"/>
      <c r="I13" s="154"/>
      <c r="J13" s="154"/>
      <c r="K13" s="154">
        <f>D13*0.2*12+D13*0.3*12+D13*0.35*12+D13*0.4*3*12</f>
        <v>272.10000000000002</v>
      </c>
      <c r="L13" s="154">
        <f t="shared" si="10"/>
        <v>273.3</v>
      </c>
      <c r="M13" s="154">
        <f t="shared" si="11"/>
        <v>1341.8</v>
      </c>
      <c r="N13" s="171">
        <v>0.43</v>
      </c>
      <c r="O13" s="154">
        <f t="shared" si="12"/>
        <v>577</v>
      </c>
      <c r="P13" s="154">
        <f t="shared" si="13"/>
        <v>1918.8</v>
      </c>
      <c r="Q13" s="154">
        <f t="shared" si="14"/>
        <v>1535</v>
      </c>
      <c r="R13" s="154">
        <f t="shared" si="15"/>
        <v>1535</v>
      </c>
      <c r="S13" s="154">
        <f t="shared" si="16"/>
        <v>159.6</v>
      </c>
      <c r="T13" s="154">
        <f t="shared" si="17"/>
        <v>5148.3999999999996</v>
      </c>
      <c r="U13" s="696"/>
      <c r="V13" s="155">
        <f t="shared" si="0"/>
        <v>5148.3999999999996</v>
      </c>
      <c r="W13" s="155">
        <f t="shared" si="20"/>
        <v>1554.8</v>
      </c>
      <c r="X13" s="162">
        <v>5</v>
      </c>
      <c r="Y13" s="163">
        <v>30</v>
      </c>
      <c r="Z13" s="164">
        <f t="shared" si="1"/>
        <v>150</v>
      </c>
      <c r="AA13" s="162">
        <v>2</v>
      </c>
      <c r="AB13" s="163">
        <v>15</v>
      </c>
      <c r="AC13" s="164">
        <f t="shared" si="2"/>
        <v>30</v>
      </c>
      <c r="AD13" s="162"/>
      <c r="AE13" s="163">
        <v>30</v>
      </c>
      <c r="AF13" s="164">
        <f t="shared" si="3"/>
        <v>0</v>
      </c>
      <c r="AG13" s="164">
        <f t="shared" si="4"/>
        <v>54</v>
      </c>
      <c r="AH13" s="164">
        <f t="shared" si="5"/>
        <v>234</v>
      </c>
      <c r="AI13" s="34">
        <f t="shared" si="6"/>
        <v>71505.600000000006</v>
      </c>
      <c r="AJ13" s="34"/>
      <c r="AK13" s="34">
        <f t="shared" si="7"/>
        <v>858.1</v>
      </c>
      <c r="AL13" s="34">
        <f t="shared" si="18"/>
        <v>273.7</v>
      </c>
      <c r="AM13" s="51">
        <v>0.30199999999999999</v>
      </c>
      <c r="AO13" s="116"/>
      <c r="AP13" s="116"/>
      <c r="AQ13" s="116"/>
      <c r="AS13" s="51">
        <f t="shared" si="8"/>
        <v>16.593</v>
      </c>
    </row>
    <row r="14" spans="1:45" x14ac:dyDescent="0.25">
      <c r="A14" s="278">
        <v>6</v>
      </c>
      <c r="B14" s="166" t="s">
        <v>16</v>
      </c>
      <c r="C14" s="174">
        <v>17</v>
      </c>
      <c r="D14" s="175">
        <v>11.061999999999999</v>
      </c>
      <c r="E14" s="171">
        <f t="shared" si="19"/>
        <v>188.05</v>
      </c>
      <c r="F14" s="154">
        <f t="shared" si="9"/>
        <v>2256.6</v>
      </c>
      <c r="G14" s="154"/>
      <c r="H14" s="154"/>
      <c r="I14" s="154"/>
      <c r="J14" s="154"/>
      <c r="K14" s="154">
        <f>D14*0.3*12+D14*0.4*12</f>
        <v>92.9</v>
      </c>
      <c r="L14" s="154">
        <f t="shared" si="10"/>
        <v>774.3</v>
      </c>
      <c r="M14" s="154">
        <f t="shared" si="11"/>
        <v>3123.8</v>
      </c>
      <c r="N14" s="171">
        <v>0.43</v>
      </c>
      <c r="O14" s="154">
        <f t="shared" si="12"/>
        <v>1343.2</v>
      </c>
      <c r="P14" s="154">
        <f t="shared" si="13"/>
        <v>4467</v>
      </c>
      <c r="Q14" s="154">
        <f t="shared" si="14"/>
        <v>3573.6</v>
      </c>
      <c r="R14" s="154">
        <f t="shared" si="15"/>
        <v>3573.6</v>
      </c>
      <c r="S14" s="154">
        <f t="shared" si="16"/>
        <v>371.7</v>
      </c>
      <c r="T14" s="154">
        <f t="shared" si="17"/>
        <v>11985.9</v>
      </c>
      <c r="U14" s="696"/>
      <c r="V14" s="155">
        <f t="shared" si="0"/>
        <v>11985.9</v>
      </c>
      <c r="W14" s="155">
        <f t="shared" si="20"/>
        <v>3619.7</v>
      </c>
      <c r="X14" s="162">
        <v>10</v>
      </c>
      <c r="Y14" s="163">
        <v>30</v>
      </c>
      <c r="Z14" s="164">
        <f t="shared" si="1"/>
        <v>300</v>
      </c>
      <c r="AA14" s="162">
        <v>3</v>
      </c>
      <c r="AB14" s="163">
        <v>15</v>
      </c>
      <c r="AC14" s="164">
        <f t="shared" si="2"/>
        <v>45</v>
      </c>
      <c r="AD14" s="162">
        <v>3</v>
      </c>
      <c r="AE14" s="163">
        <v>30</v>
      </c>
      <c r="AF14" s="164">
        <f t="shared" si="3"/>
        <v>90</v>
      </c>
      <c r="AG14" s="164">
        <f t="shared" si="4"/>
        <v>130.5</v>
      </c>
      <c r="AH14" s="164">
        <f t="shared" si="5"/>
        <v>565.5</v>
      </c>
      <c r="AI14" s="34">
        <f t="shared" si="6"/>
        <v>58754.400000000001</v>
      </c>
      <c r="AJ14" s="34"/>
      <c r="AK14" s="34">
        <f t="shared" si="7"/>
        <v>705.1</v>
      </c>
      <c r="AL14" s="34">
        <f t="shared" si="18"/>
        <v>245.8</v>
      </c>
      <c r="AM14" s="51">
        <v>0.30199999999999999</v>
      </c>
      <c r="AS14" s="51">
        <f t="shared" si="8"/>
        <v>16.593</v>
      </c>
    </row>
    <row r="15" spans="1:45" ht="13.8" x14ac:dyDescent="0.25">
      <c r="A15" s="278">
        <v>7</v>
      </c>
      <c r="B15" s="176" t="s">
        <v>36</v>
      </c>
      <c r="C15" s="167">
        <f>69.5-0.5</f>
        <v>69</v>
      </c>
      <c r="D15" s="177">
        <v>8.4730000000000008</v>
      </c>
      <c r="E15" s="171">
        <f>C15*D15</f>
        <v>584.64</v>
      </c>
      <c r="F15" s="154">
        <f t="shared" si="9"/>
        <v>7015.7</v>
      </c>
      <c r="G15" s="154"/>
      <c r="H15" s="154"/>
      <c r="I15" s="154"/>
      <c r="J15" s="154">
        <f>D15*5.05*12</f>
        <v>513.5</v>
      </c>
      <c r="K15" s="154">
        <f>D15*0.2*12+D15*0.05*4+D15*0.25*8+D15*0.05*16+D15*0.3*11+D15*0.05*31+D15*0.35*12+D15*0.4*12*12</f>
        <v>610.5</v>
      </c>
      <c r="L15" s="154">
        <f t="shared" si="10"/>
        <v>2407.1999999999998</v>
      </c>
      <c r="M15" s="154">
        <f t="shared" si="11"/>
        <v>10546.9</v>
      </c>
      <c r="N15" s="171">
        <v>0.41</v>
      </c>
      <c r="O15" s="154">
        <f t="shared" si="12"/>
        <v>4324.2</v>
      </c>
      <c r="P15" s="154">
        <f t="shared" si="13"/>
        <v>14871.1</v>
      </c>
      <c r="Q15" s="154">
        <f t="shared" si="14"/>
        <v>11896.9</v>
      </c>
      <c r="R15" s="154">
        <f t="shared" si="15"/>
        <v>11896.9</v>
      </c>
      <c r="S15" s="154">
        <f t="shared" si="16"/>
        <v>1237.3</v>
      </c>
      <c r="T15" s="154">
        <f t="shared" si="17"/>
        <v>39902.199999999997</v>
      </c>
      <c r="U15" s="696"/>
      <c r="V15" s="155">
        <f>T15*$U$9</f>
        <v>39902.199999999997</v>
      </c>
      <c r="W15" s="155">
        <f t="shared" si="20"/>
        <v>12050.5</v>
      </c>
      <c r="X15" s="278">
        <v>41</v>
      </c>
      <c r="Y15" s="24">
        <v>30</v>
      </c>
      <c r="Z15" s="48">
        <f t="shared" si="1"/>
        <v>1230</v>
      </c>
      <c r="AA15" s="54">
        <v>15</v>
      </c>
      <c r="AB15" s="24">
        <v>15</v>
      </c>
      <c r="AC15" s="48">
        <f t="shared" si="2"/>
        <v>225</v>
      </c>
      <c r="AD15" s="54">
        <v>12</v>
      </c>
      <c r="AE15" s="24">
        <v>30</v>
      </c>
      <c r="AF15" s="48">
        <f t="shared" si="3"/>
        <v>360</v>
      </c>
      <c r="AG15" s="48">
        <f t="shared" si="4"/>
        <v>544.5</v>
      </c>
      <c r="AH15" s="48">
        <f t="shared" si="5"/>
        <v>2359.5</v>
      </c>
      <c r="AI15" s="34">
        <f t="shared" si="6"/>
        <v>48191.1</v>
      </c>
      <c r="AJ15" s="34"/>
      <c r="AK15" s="34">
        <f t="shared" si="7"/>
        <v>578.29999999999995</v>
      </c>
      <c r="AL15" s="34">
        <f t="shared" si="18"/>
        <v>222.7</v>
      </c>
      <c r="AM15" s="51">
        <v>0.30199999999999999</v>
      </c>
      <c r="AO15" s="116"/>
      <c r="AP15" s="116"/>
      <c r="AQ15" s="116"/>
      <c r="AS15" s="51">
        <f t="shared" si="8"/>
        <v>12.71</v>
      </c>
    </row>
    <row r="16" spans="1:45" ht="13.8" x14ac:dyDescent="0.25">
      <c r="A16" s="278">
        <v>8</v>
      </c>
      <c r="B16" s="176" t="s">
        <v>37</v>
      </c>
      <c r="C16" s="167">
        <v>6</v>
      </c>
      <c r="D16" s="177">
        <v>8.4730000000000008</v>
      </c>
      <c r="E16" s="171">
        <f>C16*D16</f>
        <v>50.84</v>
      </c>
      <c r="F16" s="154">
        <f t="shared" si="9"/>
        <v>610.1</v>
      </c>
      <c r="G16" s="154"/>
      <c r="H16" s="154"/>
      <c r="I16" s="154"/>
      <c r="J16" s="154">
        <f>D16*0.2*12</f>
        <v>20.3</v>
      </c>
      <c r="K16" s="154">
        <f>D16*0.4*12</f>
        <v>40.700000000000003</v>
      </c>
      <c r="L16" s="154">
        <f t="shared" si="10"/>
        <v>209.3</v>
      </c>
      <c r="M16" s="154">
        <f t="shared" si="11"/>
        <v>880.4</v>
      </c>
      <c r="N16" s="171">
        <v>0.41</v>
      </c>
      <c r="O16" s="154">
        <f t="shared" si="12"/>
        <v>361</v>
      </c>
      <c r="P16" s="154">
        <f t="shared" si="13"/>
        <v>1241.4000000000001</v>
      </c>
      <c r="Q16" s="154">
        <f t="shared" si="14"/>
        <v>993.1</v>
      </c>
      <c r="R16" s="154">
        <f t="shared" si="15"/>
        <v>993.1</v>
      </c>
      <c r="S16" s="154">
        <f t="shared" si="16"/>
        <v>103.3</v>
      </c>
      <c r="T16" s="154">
        <f t="shared" si="17"/>
        <v>3330.9</v>
      </c>
      <c r="U16" s="696"/>
      <c r="V16" s="155">
        <f t="shared" si="0"/>
        <v>3330.9</v>
      </c>
      <c r="W16" s="155">
        <f t="shared" si="20"/>
        <v>1005.9</v>
      </c>
      <c r="X16" s="278"/>
      <c r="Y16" s="24">
        <v>30</v>
      </c>
      <c r="Z16" s="48">
        <f t="shared" si="1"/>
        <v>0</v>
      </c>
      <c r="AA16" s="54"/>
      <c r="AB16" s="24">
        <v>15</v>
      </c>
      <c r="AC16" s="48">
        <f t="shared" si="2"/>
        <v>0</v>
      </c>
      <c r="AD16" s="54"/>
      <c r="AE16" s="24">
        <v>30</v>
      </c>
      <c r="AF16" s="48">
        <f t="shared" si="3"/>
        <v>0</v>
      </c>
      <c r="AG16" s="48">
        <f t="shared" si="4"/>
        <v>0</v>
      </c>
      <c r="AH16" s="48">
        <f t="shared" si="5"/>
        <v>0</v>
      </c>
      <c r="AI16" s="34">
        <f t="shared" si="6"/>
        <v>46262.5</v>
      </c>
      <c r="AJ16" s="34"/>
      <c r="AK16" s="34">
        <f t="shared" si="7"/>
        <v>555.20000000000005</v>
      </c>
      <c r="AL16" s="34">
        <f t="shared" si="18"/>
        <v>218.5</v>
      </c>
      <c r="AM16" s="51">
        <v>0.30199999999999999</v>
      </c>
      <c r="AN16" s="116"/>
      <c r="AO16" s="116"/>
      <c r="AP16" s="116"/>
      <c r="AQ16" s="116"/>
      <c r="AS16" s="51">
        <f t="shared" si="8"/>
        <v>12.71</v>
      </c>
    </row>
    <row r="17" spans="1:45" x14ac:dyDescent="0.25">
      <c r="A17" s="278">
        <v>9</v>
      </c>
      <c r="B17" s="176" t="s">
        <v>19</v>
      </c>
      <c r="C17" s="167">
        <v>5</v>
      </c>
      <c r="D17" s="177">
        <v>8.4730000000000008</v>
      </c>
      <c r="E17" s="171">
        <f>C17*D17</f>
        <v>42.37</v>
      </c>
      <c r="F17" s="154">
        <f t="shared" si="9"/>
        <v>508.4</v>
      </c>
      <c r="G17" s="154"/>
      <c r="H17" s="154"/>
      <c r="I17" s="154"/>
      <c r="J17" s="154">
        <f>D17*1.25*12</f>
        <v>127.1</v>
      </c>
      <c r="K17" s="154">
        <f>D17*0.3*12+D17*0.35*2*12+D17*0.05*11+D17*0.4*2</f>
        <v>113.1</v>
      </c>
      <c r="L17" s="154">
        <f t="shared" si="10"/>
        <v>174.4</v>
      </c>
      <c r="M17" s="154">
        <f t="shared" si="11"/>
        <v>923</v>
      </c>
      <c r="N17" s="171">
        <v>0.41</v>
      </c>
      <c r="O17" s="154">
        <f t="shared" si="12"/>
        <v>378.4</v>
      </c>
      <c r="P17" s="154">
        <f t="shared" si="13"/>
        <v>1301.4000000000001</v>
      </c>
      <c r="Q17" s="154">
        <f t="shared" si="14"/>
        <v>1041.0999999999999</v>
      </c>
      <c r="R17" s="154">
        <f t="shared" si="15"/>
        <v>1041.0999999999999</v>
      </c>
      <c r="S17" s="154">
        <f t="shared" si="16"/>
        <v>108.3</v>
      </c>
      <c r="T17" s="154">
        <f t="shared" si="17"/>
        <v>3491.9</v>
      </c>
      <c r="U17" s="696"/>
      <c r="V17" s="155">
        <f t="shared" si="0"/>
        <v>3491.9</v>
      </c>
      <c r="W17" s="155">
        <f t="shared" si="20"/>
        <v>1054.5999999999999</v>
      </c>
      <c r="X17" s="278">
        <v>3</v>
      </c>
      <c r="Y17" s="24">
        <v>30</v>
      </c>
      <c r="Z17" s="48">
        <f t="shared" si="1"/>
        <v>90</v>
      </c>
      <c r="AA17" s="54">
        <v>2</v>
      </c>
      <c r="AB17" s="24">
        <v>15</v>
      </c>
      <c r="AC17" s="48">
        <f t="shared" si="2"/>
        <v>30</v>
      </c>
      <c r="AD17" s="54"/>
      <c r="AE17" s="24">
        <v>30</v>
      </c>
      <c r="AF17" s="48">
        <f t="shared" si="3"/>
        <v>0</v>
      </c>
      <c r="AG17" s="48">
        <f t="shared" si="4"/>
        <v>36</v>
      </c>
      <c r="AH17" s="48">
        <f t="shared" si="5"/>
        <v>156</v>
      </c>
      <c r="AI17" s="34">
        <f t="shared" si="6"/>
        <v>58198.3</v>
      </c>
      <c r="AJ17" s="34"/>
      <c r="AK17" s="34">
        <f t="shared" si="7"/>
        <v>698.4</v>
      </c>
      <c r="AL17" s="34">
        <f t="shared" si="18"/>
        <v>244.6</v>
      </c>
      <c r="AM17" s="51">
        <v>0.30199999999999999</v>
      </c>
      <c r="AS17" s="51">
        <f t="shared" si="8"/>
        <v>12.71</v>
      </c>
    </row>
    <row r="18" spans="1:45" ht="26.4" x14ac:dyDescent="0.25">
      <c r="A18" s="278">
        <v>10</v>
      </c>
      <c r="B18" s="44" t="s">
        <v>131</v>
      </c>
      <c r="C18" s="167">
        <v>1</v>
      </c>
      <c r="D18" s="177">
        <v>8.4730000000000008</v>
      </c>
      <c r="E18" s="171">
        <f>C18*D18</f>
        <v>8.4700000000000006</v>
      </c>
      <c r="F18" s="154">
        <f t="shared" si="9"/>
        <v>101.6</v>
      </c>
      <c r="G18" s="154"/>
      <c r="H18" s="154"/>
      <c r="I18" s="154"/>
      <c r="J18" s="154"/>
      <c r="K18" s="154">
        <f>F18*0.4</f>
        <v>40.6</v>
      </c>
      <c r="L18" s="154">
        <f t="shared" si="10"/>
        <v>34.9</v>
      </c>
      <c r="M18" s="154">
        <f t="shared" si="11"/>
        <v>177.1</v>
      </c>
      <c r="N18" s="171">
        <v>0.41</v>
      </c>
      <c r="O18" s="154">
        <f t="shared" si="12"/>
        <v>72.599999999999994</v>
      </c>
      <c r="P18" s="154">
        <f t="shared" si="13"/>
        <v>249.7</v>
      </c>
      <c r="Q18" s="154">
        <f t="shared" si="14"/>
        <v>199.8</v>
      </c>
      <c r="R18" s="154">
        <f t="shared" si="15"/>
        <v>199.8</v>
      </c>
      <c r="S18" s="154">
        <f t="shared" si="16"/>
        <v>20.8</v>
      </c>
      <c r="T18" s="154">
        <f t="shared" si="17"/>
        <v>670.1</v>
      </c>
      <c r="U18" s="696"/>
      <c r="V18" s="155">
        <f t="shared" si="0"/>
        <v>670.1</v>
      </c>
      <c r="W18" s="155">
        <f t="shared" si="20"/>
        <v>202.4</v>
      </c>
      <c r="X18" s="278">
        <v>1</v>
      </c>
      <c r="Y18" s="24">
        <v>35</v>
      </c>
      <c r="Z18" s="48">
        <f t="shared" si="1"/>
        <v>35</v>
      </c>
      <c r="AA18" s="54"/>
      <c r="AB18" s="24">
        <v>17.5</v>
      </c>
      <c r="AC18" s="48">
        <f t="shared" si="2"/>
        <v>0</v>
      </c>
      <c r="AD18" s="54"/>
      <c r="AE18" s="24">
        <v>35</v>
      </c>
      <c r="AF18" s="48">
        <f t="shared" si="3"/>
        <v>0</v>
      </c>
      <c r="AG18" s="48">
        <f t="shared" si="4"/>
        <v>10.5</v>
      </c>
      <c r="AH18" s="48">
        <f t="shared" si="5"/>
        <v>45.5</v>
      </c>
      <c r="AI18" s="34">
        <f t="shared" si="6"/>
        <v>55841.7</v>
      </c>
      <c r="AJ18" s="34"/>
      <c r="AK18" s="34">
        <f t="shared" si="7"/>
        <v>670.1</v>
      </c>
      <c r="AL18" s="34">
        <f t="shared" si="18"/>
        <v>239.4</v>
      </c>
      <c r="AM18" s="51">
        <v>0.30199999999999999</v>
      </c>
      <c r="AS18" s="51">
        <f t="shared" si="8"/>
        <v>12.71</v>
      </c>
    </row>
    <row r="19" spans="1:45" x14ac:dyDescent="0.25">
      <c r="A19" s="278">
        <v>11</v>
      </c>
      <c r="B19" s="178" t="s">
        <v>104</v>
      </c>
      <c r="C19" s="179">
        <v>1</v>
      </c>
      <c r="D19" s="177">
        <v>8.4730000000000008</v>
      </c>
      <c r="E19" s="171">
        <f t="shared" si="19"/>
        <v>8.4700000000000006</v>
      </c>
      <c r="F19" s="154">
        <f t="shared" si="9"/>
        <v>101.6</v>
      </c>
      <c r="G19" s="154"/>
      <c r="H19" s="154"/>
      <c r="I19" s="154"/>
      <c r="J19" s="154"/>
      <c r="K19" s="154">
        <f>F19*0.4</f>
        <v>40.6</v>
      </c>
      <c r="L19" s="154">
        <f t="shared" si="10"/>
        <v>34.9</v>
      </c>
      <c r="M19" s="154">
        <f t="shared" si="11"/>
        <v>177.1</v>
      </c>
      <c r="N19" s="171">
        <v>0.41</v>
      </c>
      <c r="O19" s="154">
        <f t="shared" si="12"/>
        <v>72.599999999999994</v>
      </c>
      <c r="P19" s="154">
        <f t="shared" si="13"/>
        <v>249.7</v>
      </c>
      <c r="Q19" s="154">
        <f t="shared" si="14"/>
        <v>199.8</v>
      </c>
      <c r="R19" s="154">
        <f t="shared" si="15"/>
        <v>199.8</v>
      </c>
      <c r="S19" s="154">
        <f t="shared" si="16"/>
        <v>20.8</v>
      </c>
      <c r="T19" s="154">
        <f t="shared" si="17"/>
        <v>670.1</v>
      </c>
      <c r="U19" s="696"/>
      <c r="V19" s="155">
        <f t="shared" si="0"/>
        <v>670.1</v>
      </c>
      <c r="W19" s="155">
        <f t="shared" si="20"/>
        <v>202.4</v>
      </c>
      <c r="X19" s="278">
        <v>1</v>
      </c>
      <c r="Y19" s="24">
        <v>30</v>
      </c>
      <c r="Z19" s="48">
        <f t="shared" si="1"/>
        <v>30</v>
      </c>
      <c r="AA19" s="54"/>
      <c r="AB19" s="24">
        <v>15</v>
      </c>
      <c r="AC19" s="48">
        <f t="shared" si="2"/>
        <v>0</v>
      </c>
      <c r="AD19" s="54"/>
      <c r="AE19" s="24">
        <v>30</v>
      </c>
      <c r="AF19" s="48">
        <f t="shared" si="3"/>
        <v>0</v>
      </c>
      <c r="AG19" s="48">
        <f t="shared" si="4"/>
        <v>9</v>
      </c>
      <c r="AH19" s="48">
        <f t="shared" si="5"/>
        <v>39</v>
      </c>
      <c r="AI19" s="34">
        <f t="shared" si="6"/>
        <v>55841.7</v>
      </c>
      <c r="AJ19" s="34"/>
      <c r="AK19" s="34">
        <f t="shared" si="7"/>
        <v>670.1</v>
      </c>
      <c r="AL19" s="34">
        <f t="shared" si="18"/>
        <v>239.4</v>
      </c>
      <c r="AM19" s="51">
        <v>0.30199999999999999</v>
      </c>
      <c r="AS19" s="51">
        <f t="shared" si="8"/>
        <v>12.71</v>
      </c>
    </row>
    <row r="20" spans="1:45" x14ac:dyDescent="0.25">
      <c r="A20" s="278">
        <v>12</v>
      </c>
      <c r="B20" s="176" t="s">
        <v>20</v>
      </c>
      <c r="C20" s="180">
        <v>2</v>
      </c>
      <c r="D20" s="177">
        <v>8.4730000000000008</v>
      </c>
      <c r="E20" s="171">
        <f t="shared" si="19"/>
        <v>16.95</v>
      </c>
      <c r="F20" s="154">
        <f t="shared" si="9"/>
        <v>203.4</v>
      </c>
      <c r="G20" s="154"/>
      <c r="H20" s="154"/>
      <c r="I20" s="154"/>
      <c r="J20" s="154">
        <f>D20*0.1*12</f>
        <v>10.199999999999999</v>
      </c>
      <c r="K20" s="154">
        <f>D20*0.35*12</f>
        <v>35.6</v>
      </c>
      <c r="L20" s="154">
        <f t="shared" si="10"/>
        <v>69.8</v>
      </c>
      <c r="M20" s="154">
        <f t="shared" si="11"/>
        <v>319</v>
      </c>
      <c r="N20" s="171">
        <v>0.41</v>
      </c>
      <c r="O20" s="154">
        <f t="shared" si="12"/>
        <v>130.80000000000001</v>
      </c>
      <c r="P20" s="154">
        <f t="shared" si="13"/>
        <v>449.8</v>
      </c>
      <c r="Q20" s="154">
        <f t="shared" si="14"/>
        <v>359.8</v>
      </c>
      <c r="R20" s="154">
        <f t="shared" si="15"/>
        <v>359.8</v>
      </c>
      <c r="S20" s="154">
        <f t="shared" si="16"/>
        <v>37.4</v>
      </c>
      <c r="T20" s="154">
        <f t="shared" si="17"/>
        <v>1206.8</v>
      </c>
      <c r="U20" s="696"/>
      <c r="V20" s="155">
        <f t="shared" si="0"/>
        <v>1206.8</v>
      </c>
      <c r="W20" s="155">
        <f t="shared" si="20"/>
        <v>364.5</v>
      </c>
      <c r="X20" s="278">
        <v>1</v>
      </c>
      <c r="Y20" s="24">
        <v>30</v>
      </c>
      <c r="Z20" s="48">
        <f t="shared" si="1"/>
        <v>30</v>
      </c>
      <c r="AA20" s="278">
        <v>1</v>
      </c>
      <c r="AB20" s="24">
        <v>15</v>
      </c>
      <c r="AC20" s="48">
        <f t="shared" si="2"/>
        <v>15</v>
      </c>
      <c r="AD20" s="278"/>
      <c r="AE20" s="24">
        <v>30</v>
      </c>
      <c r="AF20" s="48">
        <f t="shared" si="3"/>
        <v>0</v>
      </c>
      <c r="AG20" s="48">
        <f t="shared" si="4"/>
        <v>13.5</v>
      </c>
      <c r="AH20" s="48">
        <f t="shared" si="5"/>
        <v>58.5</v>
      </c>
      <c r="AI20" s="34">
        <f t="shared" si="6"/>
        <v>50283.3</v>
      </c>
      <c r="AJ20" s="34"/>
      <c r="AK20" s="34">
        <f t="shared" si="7"/>
        <v>603.4</v>
      </c>
      <c r="AL20" s="34">
        <f t="shared" si="18"/>
        <v>227.3</v>
      </c>
      <c r="AM20" s="51">
        <v>0.30199999999999999</v>
      </c>
      <c r="AS20" s="51">
        <f t="shared" si="8"/>
        <v>12.71</v>
      </c>
    </row>
    <row r="21" spans="1:45" ht="26.4" x14ac:dyDescent="0.25">
      <c r="A21" s="278">
        <v>13</v>
      </c>
      <c r="B21" s="181" t="s">
        <v>106</v>
      </c>
      <c r="C21" s="172">
        <v>12</v>
      </c>
      <c r="D21" s="182">
        <v>8.4730000000000008</v>
      </c>
      <c r="E21" s="171">
        <f t="shared" si="19"/>
        <v>101.68</v>
      </c>
      <c r="F21" s="154">
        <f t="shared" si="9"/>
        <v>1220.2</v>
      </c>
      <c r="G21" s="154"/>
      <c r="H21" s="154"/>
      <c r="I21" s="154"/>
      <c r="J21" s="154"/>
      <c r="K21" s="154">
        <f>D21*0.2*12+D21*0.4*12+D21*0.2*30</f>
        <v>111.8</v>
      </c>
      <c r="L21" s="154">
        <f t="shared" si="10"/>
        <v>418.7</v>
      </c>
      <c r="M21" s="154">
        <f t="shared" si="11"/>
        <v>1750.7</v>
      </c>
      <c r="N21" s="171">
        <v>0.47</v>
      </c>
      <c r="O21" s="154">
        <f t="shared" si="12"/>
        <v>822.8</v>
      </c>
      <c r="P21" s="154">
        <f t="shared" si="13"/>
        <v>2573.5</v>
      </c>
      <c r="Q21" s="154">
        <f t="shared" si="14"/>
        <v>2058.8000000000002</v>
      </c>
      <c r="R21" s="154">
        <f t="shared" si="15"/>
        <v>2058.8000000000002</v>
      </c>
      <c r="S21" s="154">
        <f t="shared" si="16"/>
        <v>214.1</v>
      </c>
      <c r="T21" s="154">
        <f t="shared" si="17"/>
        <v>6905.2</v>
      </c>
      <c r="U21" s="696"/>
      <c r="V21" s="155">
        <f t="shared" si="0"/>
        <v>6905.2</v>
      </c>
      <c r="W21" s="155">
        <f t="shared" si="20"/>
        <v>2085.4</v>
      </c>
      <c r="X21" s="272">
        <v>10</v>
      </c>
      <c r="Y21" s="163">
        <v>30</v>
      </c>
      <c r="Z21" s="164">
        <f t="shared" si="1"/>
        <v>300</v>
      </c>
      <c r="AA21" s="272">
        <v>6</v>
      </c>
      <c r="AB21" s="163">
        <v>15</v>
      </c>
      <c r="AC21" s="164">
        <f t="shared" si="2"/>
        <v>90</v>
      </c>
      <c r="AD21" s="272"/>
      <c r="AE21" s="163">
        <v>30</v>
      </c>
      <c r="AF21" s="164">
        <f t="shared" si="3"/>
        <v>0</v>
      </c>
      <c r="AG21" s="164">
        <f t="shared" si="4"/>
        <v>117</v>
      </c>
      <c r="AH21" s="164">
        <f t="shared" si="5"/>
        <v>507</v>
      </c>
      <c r="AI21" s="34">
        <f t="shared" si="6"/>
        <v>47952.800000000003</v>
      </c>
      <c r="AJ21" s="34"/>
      <c r="AK21" s="34">
        <f t="shared" si="7"/>
        <v>575.4</v>
      </c>
      <c r="AL21" s="34">
        <f t="shared" si="18"/>
        <v>222.2</v>
      </c>
      <c r="AM21" s="51">
        <v>0.30199999999999999</v>
      </c>
      <c r="AS21" s="51">
        <f t="shared" si="8"/>
        <v>12.71</v>
      </c>
    </row>
    <row r="22" spans="1:45" s="188" customFormat="1" x14ac:dyDescent="0.25">
      <c r="A22" s="278">
        <v>14</v>
      </c>
      <c r="B22" s="106" t="s">
        <v>107</v>
      </c>
      <c r="C22" s="172">
        <f>2-1</f>
        <v>1</v>
      </c>
      <c r="D22" s="183">
        <v>4.3769999999999998</v>
      </c>
      <c r="E22" s="184">
        <f t="shared" si="19"/>
        <v>4.38</v>
      </c>
      <c r="F22" s="185">
        <f t="shared" si="9"/>
        <v>52.6</v>
      </c>
      <c r="G22" s="155"/>
      <c r="H22" s="155"/>
      <c r="I22" s="155"/>
      <c r="J22" s="155"/>
      <c r="K22" s="155"/>
      <c r="L22" s="154">
        <v>38.299999999999997</v>
      </c>
      <c r="M22" s="186">
        <f t="shared" si="11"/>
        <v>90.9</v>
      </c>
      <c r="N22" s="184">
        <v>0.47</v>
      </c>
      <c r="O22" s="186">
        <f t="shared" si="12"/>
        <v>42.7</v>
      </c>
      <c r="P22" s="186">
        <f t="shared" si="13"/>
        <v>133.6</v>
      </c>
      <c r="Q22" s="186">
        <f t="shared" si="14"/>
        <v>106.9</v>
      </c>
      <c r="R22" s="155">
        <f t="shared" si="15"/>
        <v>106.9</v>
      </c>
      <c r="S22" s="186">
        <f t="shared" si="16"/>
        <v>11.1</v>
      </c>
      <c r="T22" s="186">
        <f t="shared" si="17"/>
        <v>358.5</v>
      </c>
      <c r="U22" s="697"/>
      <c r="V22" s="186">
        <f>T22*$U$9</f>
        <v>358.5</v>
      </c>
      <c r="W22" s="155">
        <f t="shared" si="20"/>
        <v>108.3</v>
      </c>
      <c r="X22" s="278">
        <v>1</v>
      </c>
      <c r="Y22" s="24">
        <v>30</v>
      </c>
      <c r="Z22" s="48">
        <f t="shared" si="1"/>
        <v>30</v>
      </c>
      <c r="AA22" s="278"/>
      <c r="AB22" s="24">
        <v>15</v>
      </c>
      <c r="AC22" s="48">
        <f t="shared" si="2"/>
        <v>0</v>
      </c>
      <c r="AD22" s="278">
        <v>1</v>
      </c>
      <c r="AE22" s="24">
        <v>30</v>
      </c>
      <c r="AF22" s="48">
        <f t="shared" si="3"/>
        <v>30</v>
      </c>
      <c r="AG22" s="48">
        <f t="shared" si="4"/>
        <v>18</v>
      </c>
      <c r="AH22" s="48">
        <f t="shared" si="5"/>
        <v>78</v>
      </c>
      <c r="AI22" s="34">
        <f t="shared" si="6"/>
        <v>29875</v>
      </c>
      <c r="AJ22" s="187"/>
      <c r="AK22" s="34">
        <f t="shared" si="7"/>
        <v>358.5</v>
      </c>
      <c r="AL22" s="34">
        <f t="shared" si="18"/>
        <v>182.7</v>
      </c>
      <c r="AM22" s="51">
        <v>0.30199999999999999</v>
      </c>
      <c r="AN22" s="22"/>
      <c r="AO22" s="22"/>
      <c r="AP22" s="22"/>
      <c r="AQ22" s="22"/>
      <c r="AS22" s="51">
        <f t="shared" si="8"/>
        <v>6.5659999999999998</v>
      </c>
    </row>
    <row r="23" spans="1:45" s="33" customFormat="1" ht="20.25" customHeight="1" x14ac:dyDescent="0.25">
      <c r="A23" s="698" t="s">
        <v>72</v>
      </c>
      <c r="B23" s="698"/>
      <c r="C23" s="189">
        <f t="shared" ref="C23:AH23" si="21">SUM(C9:C22)</f>
        <v>126</v>
      </c>
      <c r="D23" s="156">
        <f t="shared" si="21"/>
        <v>141.6</v>
      </c>
      <c r="E23" s="156">
        <f t="shared" si="21"/>
        <v>1152.5999999999999</v>
      </c>
      <c r="F23" s="156">
        <f t="shared" si="21"/>
        <v>13830.6</v>
      </c>
      <c r="G23" s="156">
        <f t="shared" si="21"/>
        <v>0</v>
      </c>
      <c r="H23" s="156">
        <f t="shared" si="21"/>
        <v>0</v>
      </c>
      <c r="I23" s="156">
        <f t="shared" si="21"/>
        <v>48</v>
      </c>
      <c r="J23" s="156">
        <f t="shared" si="21"/>
        <v>671.1</v>
      </c>
      <c r="K23" s="156">
        <f t="shared" si="21"/>
        <v>1675.5</v>
      </c>
      <c r="L23" s="156">
        <f t="shared" si="21"/>
        <v>4765.8999999999996</v>
      </c>
      <c r="M23" s="156">
        <f t="shared" si="21"/>
        <v>20991.1</v>
      </c>
      <c r="N23" s="156"/>
      <c r="O23" s="156">
        <f t="shared" si="21"/>
        <v>8876.2999999999993</v>
      </c>
      <c r="P23" s="156">
        <f t="shared" si="21"/>
        <v>29867.4</v>
      </c>
      <c r="Q23" s="156">
        <f t="shared" si="21"/>
        <v>23893.9</v>
      </c>
      <c r="R23" s="156">
        <f t="shared" si="21"/>
        <v>23893.9</v>
      </c>
      <c r="S23" s="156">
        <f t="shared" si="21"/>
        <v>2485</v>
      </c>
      <c r="T23" s="156">
        <f t="shared" si="21"/>
        <v>80140.2</v>
      </c>
      <c r="U23" s="156">
        <f t="shared" si="21"/>
        <v>1</v>
      </c>
      <c r="V23" s="156">
        <f t="shared" si="21"/>
        <v>80140.2</v>
      </c>
      <c r="W23" s="156">
        <f>SUM(W9:W22)</f>
        <v>24003.599999999999</v>
      </c>
      <c r="X23" s="156">
        <f>SUM(X9:X22)</f>
        <v>75</v>
      </c>
      <c r="Y23" s="156">
        <f t="shared" si="21"/>
        <v>425</v>
      </c>
      <c r="Z23" s="190">
        <f t="shared" si="21"/>
        <v>2255</v>
      </c>
      <c r="AA23" s="156">
        <f t="shared" si="21"/>
        <v>30</v>
      </c>
      <c r="AB23" s="156">
        <f t="shared" si="21"/>
        <v>212.5</v>
      </c>
      <c r="AC23" s="190">
        <f t="shared" si="21"/>
        <v>450</v>
      </c>
      <c r="AD23" s="156">
        <f t="shared" si="21"/>
        <v>16</v>
      </c>
      <c r="AE23" s="156">
        <f t="shared" si="21"/>
        <v>425</v>
      </c>
      <c r="AF23" s="190">
        <f t="shared" si="21"/>
        <v>480</v>
      </c>
      <c r="AG23" s="190">
        <f t="shared" si="21"/>
        <v>955.5</v>
      </c>
      <c r="AH23" s="190">
        <f t="shared" si="21"/>
        <v>4140.5</v>
      </c>
      <c r="AI23" s="34"/>
      <c r="AJ23" s="187"/>
      <c r="AK23" s="34"/>
      <c r="AL23" s="34"/>
      <c r="AM23" s="51"/>
      <c r="AN23" s="22"/>
      <c r="AO23" s="22"/>
      <c r="AP23" s="22"/>
      <c r="AQ23" s="22"/>
      <c r="AS23" s="51"/>
    </row>
    <row r="24" spans="1:45" s="192" customFormat="1" ht="14.25" customHeight="1" x14ac:dyDescent="0.25">
      <c r="A24" s="33"/>
      <c r="B24" s="22"/>
      <c r="C24" s="191"/>
      <c r="D24" s="22"/>
      <c r="E24" s="22"/>
      <c r="F24" s="22"/>
      <c r="G24" s="39"/>
      <c r="H24" s="39"/>
      <c r="I24" s="39"/>
      <c r="J24" s="39"/>
      <c r="K24" s="39"/>
      <c r="L24" s="39"/>
      <c r="M24" s="39"/>
      <c r="N24" s="39"/>
      <c r="O24" s="39"/>
      <c r="P24" s="39"/>
      <c r="Q24" s="39"/>
      <c r="R24" s="39"/>
      <c r="S24" s="39"/>
      <c r="T24" s="39"/>
      <c r="U24" s="22"/>
      <c r="V24" s="34"/>
      <c r="W24" s="66"/>
      <c r="X24" s="39"/>
      <c r="Y24" s="22"/>
      <c r="Z24" s="22"/>
      <c r="AA24" s="39"/>
      <c r="AB24" s="22"/>
      <c r="AC24" s="22"/>
      <c r="AD24" s="39"/>
      <c r="AE24" s="22"/>
      <c r="AF24" s="22"/>
      <c r="AG24" s="39"/>
      <c r="AH24" s="39"/>
      <c r="AI24" s="34"/>
      <c r="AJ24" s="187"/>
      <c r="AK24" s="34"/>
      <c r="AL24" s="34"/>
      <c r="AM24" s="51"/>
      <c r="AN24" s="22"/>
      <c r="AO24" s="22"/>
      <c r="AP24" s="22"/>
      <c r="AQ24" s="22"/>
      <c r="AS24" s="51"/>
    </row>
    <row r="25" spans="1:45" s="192" customFormat="1" ht="14.25" customHeight="1" x14ac:dyDescent="0.25">
      <c r="A25" s="33"/>
      <c r="B25" s="22"/>
      <c r="C25" s="191"/>
      <c r="D25" s="22"/>
      <c r="E25" s="22"/>
      <c r="F25" s="22"/>
      <c r="G25" s="39"/>
      <c r="H25" s="39"/>
      <c r="I25" s="39"/>
      <c r="J25" s="39"/>
      <c r="K25" s="39"/>
      <c r="L25" s="39"/>
      <c r="M25" s="39"/>
      <c r="N25" s="39"/>
      <c r="O25" s="39"/>
      <c r="P25" s="39"/>
      <c r="Q25" s="39"/>
      <c r="R25" s="39"/>
      <c r="S25" s="39"/>
      <c r="T25" s="39"/>
      <c r="U25" s="22"/>
      <c r="V25" s="66"/>
      <c r="W25" s="34"/>
      <c r="X25" s="39"/>
      <c r="Y25" s="22"/>
      <c r="Z25" s="22"/>
      <c r="AA25" s="39"/>
      <c r="AB25" s="22"/>
      <c r="AC25" s="22"/>
      <c r="AD25" s="39"/>
      <c r="AE25" s="22"/>
      <c r="AF25" s="22"/>
      <c r="AG25" s="39"/>
      <c r="AH25" s="39"/>
      <c r="AI25" s="34"/>
      <c r="AJ25" s="187"/>
      <c r="AK25" s="34"/>
      <c r="AL25" s="34"/>
      <c r="AM25" s="51"/>
      <c r="AN25" s="22"/>
      <c r="AO25" s="22"/>
      <c r="AP25" s="22"/>
      <c r="AQ25" s="22"/>
      <c r="AS25" s="51"/>
    </row>
    <row r="26" spans="1:45" s="192" customFormat="1" ht="58.5" customHeight="1" x14ac:dyDescent="0.25">
      <c r="A26" s="33"/>
      <c r="B26" s="22"/>
      <c r="C26" s="191"/>
      <c r="D26" s="22"/>
      <c r="E26" s="22"/>
      <c r="F26" s="22"/>
      <c r="G26" s="481" t="s">
        <v>140</v>
      </c>
      <c r="H26" s="481"/>
      <c r="I26" s="481" t="s">
        <v>143</v>
      </c>
      <c r="J26" s="481"/>
      <c r="K26" s="484" t="s">
        <v>135</v>
      </c>
      <c r="L26" s="485"/>
      <c r="M26" s="481" t="s">
        <v>128</v>
      </c>
      <c r="N26" s="481"/>
      <c r="Q26" s="39"/>
      <c r="R26" s="39"/>
      <c r="S26" s="39"/>
      <c r="T26" s="39"/>
      <c r="U26" s="22"/>
      <c r="V26" s="34"/>
      <c r="W26" s="34"/>
      <c r="X26" s="39"/>
      <c r="Y26" s="22"/>
      <c r="Z26" s="22"/>
      <c r="AA26" s="39"/>
      <c r="AB26" s="22"/>
      <c r="AC26" s="22"/>
      <c r="AD26" s="39"/>
      <c r="AE26" s="22"/>
      <c r="AF26" s="22"/>
      <c r="AG26" s="39"/>
      <c r="AH26" s="39"/>
      <c r="AI26" s="34"/>
      <c r="AJ26" s="187"/>
      <c r="AK26" s="34"/>
      <c r="AL26" s="34"/>
      <c r="AM26" s="51"/>
      <c r="AN26" s="22"/>
      <c r="AO26" s="22"/>
      <c r="AP26" s="22"/>
      <c r="AQ26" s="22"/>
      <c r="AS26" s="51"/>
    </row>
    <row r="27" spans="1:45" s="192" customFormat="1" ht="14.25" customHeight="1" x14ac:dyDescent="0.25">
      <c r="A27" s="33"/>
      <c r="B27" s="22"/>
      <c r="C27" s="191"/>
      <c r="D27" s="22"/>
      <c r="E27" s="22"/>
      <c r="F27" s="22"/>
      <c r="G27" s="279">
        <v>991</v>
      </c>
      <c r="H27" s="279">
        <v>992</v>
      </c>
      <c r="I27" s="279">
        <v>991</v>
      </c>
      <c r="J27" s="279">
        <v>992</v>
      </c>
      <c r="K27" s="279">
        <v>991</v>
      </c>
      <c r="L27" s="279">
        <v>992</v>
      </c>
      <c r="M27" s="279">
        <v>991</v>
      </c>
      <c r="N27" s="279">
        <v>992</v>
      </c>
      <c r="Q27" s="39"/>
      <c r="R27" s="39"/>
      <c r="S27" s="39"/>
      <c r="T27" s="39"/>
      <c r="U27" s="22"/>
      <c r="V27" s="34"/>
      <c r="W27" s="34"/>
      <c r="X27" s="39"/>
      <c r="Y27" s="22"/>
      <c r="Z27" s="22"/>
      <c r="AA27" s="39"/>
      <c r="AB27" s="22"/>
      <c r="AC27" s="22"/>
      <c r="AD27" s="39"/>
      <c r="AE27" s="22"/>
      <c r="AF27" s="22"/>
      <c r="AG27" s="39"/>
      <c r="AH27" s="39"/>
      <c r="AI27" s="34"/>
      <c r="AJ27" s="187"/>
      <c r="AK27" s="34"/>
      <c r="AL27" s="34"/>
      <c r="AM27" s="51"/>
      <c r="AN27" s="22"/>
      <c r="AO27" s="22"/>
      <c r="AP27" s="22"/>
      <c r="AQ27" s="22"/>
      <c r="AS27" s="51"/>
    </row>
    <row r="28" spans="1:45" s="192" customFormat="1" ht="14.25" customHeight="1" x14ac:dyDescent="0.25">
      <c r="A28" s="33"/>
      <c r="B28" s="22"/>
      <c r="C28" s="191"/>
      <c r="D28" s="22"/>
      <c r="E28" s="22"/>
      <c r="F28" s="22"/>
      <c r="G28" s="29">
        <f>76536+3092.6+824.1</f>
        <v>80452.7</v>
      </c>
      <c r="H28" s="29">
        <v>24137.9</v>
      </c>
      <c r="I28" s="29">
        <v>312.5</v>
      </c>
      <c r="J28" s="29">
        <v>94.4</v>
      </c>
      <c r="K28" s="29">
        <f>V23</f>
        <v>80140.2</v>
      </c>
      <c r="L28" s="29">
        <f>W23</f>
        <v>24003.599999999999</v>
      </c>
      <c r="M28" s="29">
        <f>G28-I28-K28</f>
        <v>0</v>
      </c>
      <c r="N28" s="29">
        <f>H28-J28-L28</f>
        <v>39.9</v>
      </c>
      <c r="Q28" s="39"/>
      <c r="R28" s="39"/>
      <c r="S28" s="39"/>
      <c r="T28" s="39"/>
      <c r="U28" s="22"/>
      <c r="V28" s="34"/>
      <c r="W28" s="34"/>
      <c r="X28" s="39"/>
      <c r="Y28" s="22"/>
      <c r="Z28" s="22"/>
      <c r="AA28" s="39"/>
      <c r="AB28" s="22"/>
      <c r="AC28" s="22"/>
      <c r="AD28" s="39"/>
      <c r="AE28" s="22"/>
      <c r="AF28" s="22"/>
      <c r="AG28" s="39"/>
      <c r="AH28" s="39"/>
      <c r="AI28" s="34"/>
      <c r="AJ28" s="187"/>
      <c r="AK28" s="34"/>
      <c r="AL28" s="34"/>
      <c r="AM28" s="51"/>
      <c r="AN28" s="22"/>
      <c r="AO28" s="22"/>
      <c r="AP28" s="22"/>
      <c r="AQ28" s="22"/>
      <c r="AS28" s="51"/>
    </row>
    <row r="29" spans="1:45" s="192" customFormat="1" ht="14.25" customHeight="1" x14ac:dyDescent="0.25">
      <c r="A29" s="33"/>
      <c r="B29" s="22"/>
      <c r="C29" s="191"/>
      <c r="D29" s="22"/>
      <c r="E29" s="22"/>
      <c r="F29" s="22"/>
      <c r="G29" s="39"/>
      <c r="H29" s="39"/>
      <c r="I29" s="157"/>
      <c r="J29" s="157"/>
      <c r="K29" s="157"/>
      <c r="L29" s="157"/>
      <c r="M29" s="39"/>
      <c r="N29" s="39"/>
      <c r="O29" s="39"/>
      <c r="P29" s="39"/>
      <c r="Q29" s="39"/>
      <c r="R29" s="39"/>
      <c r="S29" s="39"/>
      <c r="T29" s="39"/>
      <c r="U29" s="22"/>
      <c r="V29" s="34"/>
      <c r="W29" s="34"/>
      <c r="X29" s="39"/>
      <c r="Y29" s="22"/>
      <c r="Z29" s="22"/>
      <c r="AA29" s="39"/>
      <c r="AB29" s="22"/>
      <c r="AC29" s="22"/>
      <c r="AD29" s="39"/>
      <c r="AE29" s="22"/>
      <c r="AF29" s="22"/>
      <c r="AG29" s="39"/>
      <c r="AH29" s="39"/>
      <c r="AI29" s="34"/>
      <c r="AJ29" s="187"/>
      <c r="AK29" s="34"/>
      <c r="AL29" s="34"/>
      <c r="AM29" s="51"/>
      <c r="AN29" s="22"/>
      <c r="AO29" s="22"/>
      <c r="AP29" s="22"/>
      <c r="AQ29" s="22"/>
      <c r="AS29" s="51"/>
    </row>
    <row r="30" spans="1:45" s="192" customFormat="1" ht="14.25" customHeight="1" x14ac:dyDescent="0.25">
      <c r="A30" s="33"/>
      <c r="B30" s="22"/>
      <c r="C30" s="191"/>
      <c r="D30" s="22"/>
      <c r="E30" s="22"/>
      <c r="F30" s="22"/>
      <c r="G30" s="39"/>
      <c r="H30" s="39"/>
      <c r="I30" s="157"/>
      <c r="J30" s="157"/>
      <c r="K30" s="157"/>
      <c r="L30" s="157"/>
      <c r="M30" s="39"/>
      <c r="N30" s="39"/>
      <c r="O30" s="39"/>
      <c r="P30" s="39"/>
      <c r="Q30" s="39"/>
      <c r="R30" s="39"/>
      <c r="S30" s="39"/>
      <c r="T30" s="39"/>
      <c r="U30" s="22"/>
      <c r="V30" s="34"/>
      <c r="W30" s="34"/>
      <c r="X30" s="39"/>
      <c r="Y30" s="22"/>
      <c r="Z30" s="22"/>
      <c r="AA30" s="39"/>
      <c r="AB30" s="22"/>
      <c r="AC30" s="22"/>
      <c r="AD30" s="39"/>
      <c r="AE30" s="22"/>
      <c r="AF30" s="22"/>
      <c r="AG30" s="39"/>
      <c r="AH30" s="39"/>
      <c r="AI30" s="34"/>
      <c r="AJ30" s="187"/>
      <c r="AK30" s="34"/>
      <c r="AL30" s="34"/>
      <c r="AM30" s="51"/>
      <c r="AN30" s="22"/>
      <c r="AO30" s="22"/>
      <c r="AP30" s="22"/>
      <c r="AQ30" s="22"/>
      <c r="AS30" s="51"/>
    </row>
    <row r="31" spans="1:45" s="192" customFormat="1" ht="14.25" customHeight="1" x14ac:dyDescent="0.25">
      <c r="A31" s="33"/>
      <c r="B31" s="22"/>
      <c r="C31" s="191"/>
      <c r="D31" s="22"/>
      <c r="E31" s="22"/>
      <c r="F31" s="22"/>
      <c r="G31" s="39"/>
      <c r="H31" s="39"/>
      <c r="I31" s="39"/>
      <c r="J31" s="39"/>
      <c r="K31" s="39"/>
      <c r="L31" s="39"/>
      <c r="M31" s="39"/>
      <c r="N31" s="39"/>
      <c r="O31" s="39"/>
      <c r="P31" s="39"/>
      <c r="Q31" s="39"/>
      <c r="R31" s="39"/>
      <c r="S31" s="39"/>
      <c r="T31" s="39"/>
      <c r="U31" s="22"/>
      <c r="V31" s="34"/>
      <c r="W31" s="34"/>
      <c r="X31" s="39"/>
      <c r="Y31" s="22"/>
      <c r="Z31" s="22"/>
      <c r="AA31" s="39"/>
      <c r="AB31" s="22"/>
      <c r="AC31" s="22"/>
      <c r="AD31" s="39"/>
      <c r="AE31" s="22"/>
      <c r="AF31" s="22"/>
      <c r="AG31" s="39"/>
      <c r="AH31" s="39"/>
      <c r="AI31" s="34"/>
      <c r="AJ31" s="187"/>
      <c r="AK31" s="34"/>
      <c r="AL31" s="34"/>
      <c r="AM31" s="51"/>
      <c r="AN31" s="22"/>
      <c r="AO31" s="22"/>
      <c r="AP31" s="22"/>
      <c r="AQ31" s="22"/>
      <c r="AS31" s="51"/>
    </row>
    <row r="32" spans="1:45" s="192" customFormat="1" ht="14.25" customHeight="1" x14ac:dyDescent="0.25">
      <c r="A32" s="33"/>
      <c r="B32" s="22"/>
      <c r="C32" s="191"/>
      <c r="D32" s="22"/>
      <c r="E32" s="22"/>
      <c r="F32" s="22"/>
      <c r="G32" s="39"/>
      <c r="H32" s="39"/>
      <c r="I32" s="39"/>
      <c r="J32" s="39"/>
      <c r="K32" s="39"/>
      <c r="L32" s="39"/>
      <c r="M32" s="39"/>
      <c r="N32" s="39"/>
      <c r="O32" s="39"/>
      <c r="P32" s="39"/>
      <c r="Q32" s="39"/>
      <c r="R32" s="39"/>
      <c r="S32" s="39"/>
      <c r="T32" s="39"/>
      <c r="U32" s="22"/>
      <c r="V32" s="39"/>
      <c r="W32" s="39"/>
      <c r="X32" s="39"/>
      <c r="Y32" s="22"/>
      <c r="Z32" s="22"/>
      <c r="AA32" s="39"/>
      <c r="AB32" s="22"/>
      <c r="AC32" s="22"/>
      <c r="AD32" s="39"/>
      <c r="AE32" s="22"/>
      <c r="AF32" s="22"/>
      <c r="AG32" s="39"/>
      <c r="AH32" s="39"/>
      <c r="AI32" s="34"/>
      <c r="AJ32" s="187"/>
      <c r="AK32" s="34"/>
      <c r="AL32" s="34"/>
      <c r="AM32" s="51"/>
      <c r="AN32" s="22"/>
      <c r="AO32" s="22"/>
      <c r="AP32" s="22"/>
      <c r="AQ32" s="22"/>
    </row>
    <row r="33" spans="1:43" s="195" customFormat="1" ht="13.8" x14ac:dyDescent="0.25">
      <c r="A33" s="165"/>
      <c r="B33" s="193"/>
      <c r="C33" s="194"/>
      <c r="D33" s="194"/>
      <c r="E33" s="158"/>
      <c r="F33" s="158"/>
      <c r="G33" s="158"/>
      <c r="H33" s="158"/>
      <c r="I33" s="158"/>
      <c r="J33" s="158"/>
      <c r="K33" s="158"/>
      <c r="L33" s="158"/>
      <c r="M33" s="157"/>
      <c r="N33" s="157"/>
      <c r="O33" s="157"/>
      <c r="P33" s="157"/>
      <c r="Q33" s="157"/>
      <c r="R33" s="157"/>
      <c r="S33" s="157"/>
      <c r="T33" s="157"/>
      <c r="V33" s="157"/>
      <c r="W33" s="157"/>
      <c r="Z33" s="157"/>
      <c r="AC33" s="157"/>
      <c r="AF33" s="157"/>
      <c r="AG33" s="157"/>
      <c r="AI33" s="196"/>
      <c r="AN33" s="62"/>
      <c r="AO33" s="62"/>
      <c r="AP33" s="62"/>
      <c r="AQ33" s="62"/>
    </row>
    <row r="34" spans="1:43" s="195" customFormat="1" ht="13.8" x14ac:dyDescent="0.25">
      <c r="A34" s="165"/>
      <c r="B34" s="193"/>
      <c r="C34" s="194"/>
      <c r="D34" s="194"/>
      <c r="E34" s="158"/>
      <c r="F34" s="158"/>
      <c r="G34" s="158"/>
      <c r="H34" s="158"/>
      <c r="I34" s="158"/>
      <c r="J34" s="158"/>
      <c r="K34" s="158"/>
      <c r="L34" s="158"/>
      <c r="M34" s="157"/>
      <c r="N34" s="157"/>
      <c r="O34" s="157"/>
      <c r="P34" s="157"/>
      <c r="Q34" s="157"/>
      <c r="R34" s="157"/>
      <c r="S34" s="157"/>
      <c r="T34" s="157"/>
      <c r="V34" s="157"/>
      <c r="W34" s="157"/>
      <c r="Z34" s="157"/>
      <c r="AC34" s="157"/>
      <c r="AF34" s="157"/>
      <c r="AG34" s="157"/>
      <c r="AI34" s="196"/>
      <c r="AN34" s="62"/>
      <c r="AO34" s="62"/>
      <c r="AP34" s="62"/>
      <c r="AQ34" s="62"/>
    </row>
    <row r="35" spans="1:43" s="282" customFormat="1" ht="21" x14ac:dyDescent="0.25">
      <c r="A35" s="81"/>
      <c r="B35" s="82" t="s">
        <v>138</v>
      </c>
      <c r="C35" s="83"/>
      <c r="D35" s="84"/>
      <c r="E35" s="84"/>
      <c r="F35" s="85"/>
      <c r="G35" s="85"/>
      <c r="H35" s="86"/>
      <c r="I35" s="86"/>
      <c r="J35" s="85"/>
      <c r="K35" s="30" t="s">
        <v>166</v>
      </c>
      <c r="L35" s="85"/>
      <c r="M35" s="85"/>
      <c r="N35" s="87"/>
      <c r="O35" s="85"/>
      <c r="P35" s="85"/>
      <c r="Q35" s="85"/>
      <c r="R35" s="85"/>
      <c r="S35" s="85"/>
      <c r="T35" s="85"/>
      <c r="U35" s="85"/>
      <c r="V35" s="85"/>
      <c r="W35" s="85"/>
      <c r="X35" s="85"/>
      <c r="Y35" s="85"/>
      <c r="Z35" s="85"/>
      <c r="AA35" s="85"/>
      <c r="AB35" s="85"/>
      <c r="AC35" s="85"/>
      <c r="AD35" s="85"/>
      <c r="AE35" s="85"/>
      <c r="AF35" s="85"/>
      <c r="AG35" s="85"/>
      <c r="AH35" s="85"/>
      <c r="AI35" s="85"/>
      <c r="AK35" s="88"/>
      <c r="AL35" s="88"/>
      <c r="AM35" s="88"/>
      <c r="AN35" s="88"/>
      <c r="AO35" s="88"/>
    </row>
    <row r="36" spans="1:43" s="205" customFormat="1" ht="13.8" x14ac:dyDescent="0.25">
      <c r="A36" s="197"/>
      <c r="B36" s="197"/>
      <c r="C36" s="198"/>
      <c r="D36" s="199"/>
      <c r="E36" s="199"/>
      <c r="F36" s="159"/>
      <c r="G36" s="159"/>
      <c r="H36" s="200"/>
      <c r="I36" s="200"/>
      <c r="J36" s="159"/>
      <c r="K36" s="159"/>
      <c r="L36" s="159"/>
      <c r="M36" s="159"/>
      <c r="N36" s="201"/>
      <c r="O36" s="159"/>
      <c r="P36" s="159"/>
      <c r="Q36" s="159"/>
      <c r="R36" s="159"/>
      <c r="S36" s="159"/>
      <c r="T36" s="159"/>
      <c r="U36" s="159"/>
      <c r="V36" s="202"/>
      <c r="W36" s="202"/>
      <c r="X36" s="203"/>
      <c r="Y36" s="159"/>
      <c r="Z36" s="159"/>
      <c r="AA36" s="159"/>
      <c r="AB36" s="159"/>
      <c r="AC36" s="159"/>
      <c r="AD36" s="159"/>
      <c r="AE36" s="159"/>
      <c r="AF36" s="159"/>
      <c r="AG36" s="159"/>
      <c r="AH36" s="204"/>
      <c r="AM36" s="204"/>
      <c r="AN36" s="76"/>
      <c r="AO36" s="76"/>
      <c r="AP36" s="76"/>
      <c r="AQ36" s="76"/>
    </row>
    <row r="37" spans="1:43" s="205" customFormat="1" ht="15.6" x14ac:dyDescent="0.25">
      <c r="A37" s="206" t="s">
        <v>96</v>
      </c>
      <c r="B37" s="206"/>
      <c r="C37" s="160"/>
      <c r="D37" s="160"/>
      <c r="E37" s="160"/>
      <c r="F37" s="160"/>
      <c r="G37" s="160"/>
      <c r="H37" s="160"/>
      <c r="I37" s="160"/>
      <c r="J37" s="160"/>
      <c r="K37" s="160"/>
      <c r="L37" s="207"/>
      <c r="M37" s="207"/>
      <c r="N37" s="208"/>
      <c r="O37" s="207"/>
      <c r="P37" s="207"/>
      <c r="Q37" s="207"/>
      <c r="R37" s="207"/>
      <c r="S37" s="207"/>
      <c r="T37" s="207"/>
      <c r="U37" s="207"/>
      <c r="V37" s="207"/>
      <c r="W37" s="207"/>
      <c r="X37" s="207"/>
      <c r="Y37" s="207"/>
      <c r="Z37" s="207"/>
      <c r="AA37" s="207"/>
      <c r="AB37" s="207"/>
      <c r="AC37" s="207"/>
      <c r="AD37" s="207"/>
      <c r="AE37" s="207"/>
      <c r="AF37" s="207"/>
      <c r="AG37" s="207"/>
      <c r="AH37" s="204"/>
      <c r="AM37" s="204"/>
      <c r="AN37" s="76"/>
      <c r="AO37" s="76"/>
      <c r="AP37" s="76"/>
      <c r="AQ37" s="76"/>
    </row>
    <row r="38" spans="1:43" s="205" customFormat="1" ht="15.6" x14ac:dyDescent="0.25">
      <c r="A38" s="206" t="s">
        <v>139</v>
      </c>
      <c r="B38" s="209"/>
      <c r="C38" s="210"/>
      <c r="D38" s="210"/>
      <c r="E38" s="161"/>
      <c r="F38" s="161"/>
      <c r="G38" s="161"/>
      <c r="H38" s="161"/>
      <c r="I38" s="161"/>
      <c r="J38" s="161"/>
      <c r="K38" s="161"/>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4"/>
      <c r="AM38" s="204"/>
      <c r="AN38" s="76"/>
      <c r="AO38" s="76"/>
      <c r="AP38" s="76"/>
      <c r="AQ38" s="76"/>
    </row>
    <row r="39" spans="1:43" ht="21" x14ac:dyDescent="0.25">
      <c r="AN39" s="88"/>
      <c r="AO39" s="88"/>
      <c r="AP39" s="88"/>
      <c r="AQ39" s="88"/>
    </row>
    <row r="40" spans="1:43" x14ac:dyDescent="0.25">
      <c r="E40" s="51"/>
      <c r="F40" s="51"/>
    </row>
    <row r="41" spans="1:43" x14ac:dyDescent="0.25">
      <c r="E41" s="51"/>
      <c r="F41" s="51"/>
    </row>
    <row r="42" spans="1:43" x14ac:dyDescent="0.25">
      <c r="E42" s="51"/>
      <c r="F42" s="51"/>
    </row>
    <row r="43" spans="1:43" x14ac:dyDescent="0.25">
      <c r="E43" s="51"/>
      <c r="F43" s="51"/>
    </row>
    <row r="44" spans="1:43" x14ac:dyDescent="0.25">
      <c r="E44" s="51"/>
      <c r="F44" s="51"/>
    </row>
    <row r="45" spans="1:43" x14ac:dyDescent="0.25">
      <c r="E45" s="51"/>
      <c r="F45" s="51"/>
    </row>
    <row r="46" spans="1:43" x14ac:dyDescent="0.25">
      <c r="E46" s="51"/>
      <c r="F46" s="51"/>
    </row>
    <row r="47" spans="1:43" x14ac:dyDescent="0.25">
      <c r="E47" s="51"/>
      <c r="F47" s="51"/>
    </row>
    <row r="48" spans="1:43" x14ac:dyDescent="0.25">
      <c r="E48" s="51"/>
      <c r="F48" s="51"/>
    </row>
    <row r="49" spans="5:6" x14ac:dyDescent="0.25">
      <c r="E49" s="51"/>
      <c r="F49" s="51"/>
    </row>
    <row r="50" spans="5:6" x14ac:dyDescent="0.25">
      <c r="E50" s="51"/>
      <c r="F50" s="51"/>
    </row>
    <row r="51" spans="5:6" x14ac:dyDescent="0.25">
      <c r="E51" s="51"/>
      <c r="F51" s="51"/>
    </row>
    <row r="52" spans="5:6" x14ac:dyDescent="0.25">
      <c r="E52" s="51"/>
      <c r="F52" s="51"/>
    </row>
    <row r="53" spans="5:6" x14ac:dyDescent="0.25">
      <c r="E53" s="51"/>
    </row>
    <row r="54" spans="5:6" x14ac:dyDescent="0.25">
      <c r="E54" s="51"/>
    </row>
    <row r="55" spans="5:6" x14ac:dyDescent="0.25">
      <c r="E55" s="51"/>
    </row>
    <row r="56" spans="5:6" x14ac:dyDescent="0.25">
      <c r="E56" s="51"/>
    </row>
    <row r="57" spans="5:6" x14ac:dyDescent="0.25">
      <c r="E57" s="51"/>
    </row>
  </sheetData>
  <autoFilter ref="A8:AS24"/>
  <mergeCells count="38">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 ref="A23:B23"/>
    <mergeCell ref="S6:S7"/>
    <mergeCell ref="T6:T7"/>
    <mergeCell ref="U6:U7"/>
    <mergeCell ref="F6:F7"/>
    <mergeCell ref="G6:G7"/>
    <mergeCell ref="H6:H7"/>
    <mergeCell ref="I6:I7"/>
    <mergeCell ref="J6:J7"/>
    <mergeCell ref="L6:L7"/>
    <mergeCell ref="M6:M7"/>
    <mergeCell ref="N6:O6"/>
    <mergeCell ref="P6:P7"/>
    <mergeCell ref="R6:R7"/>
    <mergeCell ref="K6:K7"/>
    <mergeCell ref="AD6:AF6"/>
    <mergeCell ref="Q6:Q7"/>
    <mergeCell ref="G26:H26"/>
    <mergeCell ref="I26:J26"/>
    <mergeCell ref="K26:L26"/>
    <mergeCell ref="M26:N26"/>
    <mergeCell ref="U9:U22"/>
  </mergeCells>
  <printOptions horizontalCentered="1"/>
  <pageMargins left="0" right="0" top="0" bottom="0" header="0.31496062992125984" footer="0.31496062992125984"/>
  <pageSetup paperSize="9" scale="35"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105"/>
  <sheetViews>
    <sheetView view="pageBreakPreview" zoomScale="80" zoomScaleNormal="80" zoomScaleSheetLayoutView="80" workbookViewId="0">
      <pane xSplit="3" ySplit="8" topLeftCell="D45"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7.77734375" style="33" customWidth="1"/>
    <col min="2" max="2" width="30.77734375" style="22" customWidth="1"/>
    <col min="3" max="3" width="13.77734375" style="22" customWidth="1"/>
    <col min="4" max="4" width="14" style="22" customWidth="1"/>
    <col min="5" max="5" width="13" style="22" customWidth="1"/>
    <col min="6" max="6" width="14.6640625" style="22" customWidth="1"/>
    <col min="7" max="7" width="12.77734375" style="22" customWidth="1"/>
    <col min="8" max="8" width="15.77734375" style="22" customWidth="1"/>
    <col min="9" max="9" width="13.44140625" style="22" customWidth="1"/>
    <col min="10" max="10" width="16.77734375" style="22" customWidth="1"/>
    <col min="11" max="11" width="13.44140625" style="22" customWidth="1"/>
    <col min="12" max="12" width="13.33203125" style="22" customWidth="1"/>
    <col min="13" max="13" width="14" style="22" customWidth="1"/>
    <col min="14" max="14" width="11.44140625" style="22" customWidth="1"/>
    <col min="15" max="15" width="11.6640625" style="22" customWidth="1"/>
    <col min="16" max="16" width="13.33203125" style="22" customWidth="1"/>
    <col min="17" max="17" width="11.44140625" style="22" customWidth="1"/>
    <col min="18" max="18" width="13" style="22" customWidth="1"/>
    <col min="19" max="19" width="15.44140625" style="22" customWidth="1"/>
    <col min="20" max="20" width="12.33203125" style="22" customWidth="1"/>
    <col min="21" max="21" width="11.6640625" style="22" customWidth="1"/>
    <col min="22" max="22" width="14.44140625" style="22" customWidth="1"/>
    <col min="23" max="23" width="16" style="22" customWidth="1"/>
    <col min="24" max="24" width="14.109375" style="22" customWidth="1"/>
    <col min="25" max="25" width="11.109375" style="22" customWidth="1"/>
    <col min="26" max="26" width="9.77734375" style="22" customWidth="1"/>
    <col min="27" max="30" width="8.44140625" style="22" customWidth="1"/>
    <col min="31" max="31" width="15.109375" style="22" bestFit="1" customWidth="1"/>
    <col min="32" max="32" width="9.6640625" style="22" customWidth="1"/>
    <col min="33" max="33" width="9.33203125" style="22" customWidth="1"/>
    <col min="34" max="34" width="13.44140625" style="22" customWidth="1"/>
    <col min="35" max="35" width="14.44140625" style="34" customWidth="1"/>
    <col min="36" max="36" width="9.33203125" style="22"/>
    <col min="37" max="37" width="12.6640625" style="211" customWidth="1"/>
    <col min="38" max="38" width="11.6640625" style="211" hidden="1" customWidth="1"/>
    <col min="39" max="39" width="13" style="211" hidden="1" customWidth="1"/>
    <col min="40" max="40" width="14.109375" style="211" bestFit="1" customWidth="1"/>
    <col min="41" max="41" width="9.44140625" style="211" bestFit="1" customWidth="1"/>
    <col min="42" max="43" width="14.109375" style="211" bestFit="1" customWidth="1"/>
    <col min="44" max="45" width="9.44140625" style="22" bestFit="1" customWidth="1"/>
    <col min="46" max="16384" width="9.33203125" style="22"/>
  </cols>
  <sheetData>
    <row r="1" spans="1:45" ht="18" customHeight="1" x14ac:dyDescent="0.25">
      <c r="AE1" s="488"/>
      <c r="AF1" s="488"/>
      <c r="AG1" s="488"/>
      <c r="AH1" s="488"/>
    </row>
    <row r="2" spans="1:45" ht="24" customHeight="1" x14ac:dyDescent="0.25">
      <c r="A2" s="489" t="s">
        <v>160</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5"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283"/>
    </row>
    <row r="4" spans="1:45" x14ac:dyDescent="0.25">
      <c r="L4" s="38">
        <v>0.33837499999999998</v>
      </c>
      <c r="V4" s="39"/>
      <c r="W4" s="39"/>
    </row>
    <row r="5" spans="1:45" ht="38.25" customHeight="1" x14ac:dyDescent="0.25">
      <c r="A5" s="491" t="s">
        <v>78</v>
      </c>
      <c r="B5" s="491"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5" ht="60" customHeight="1" x14ac:dyDescent="0.25">
      <c r="A6" s="491"/>
      <c r="B6" s="491"/>
      <c r="C6" s="479"/>
      <c r="D6" s="478" t="s">
        <v>68</v>
      </c>
      <c r="E6" s="478" t="s">
        <v>69</v>
      </c>
      <c r="F6" s="478" t="s">
        <v>89</v>
      </c>
      <c r="G6" s="478" t="s">
        <v>1</v>
      </c>
      <c r="H6" s="478" t="s">
        <v>2</v>
      </c>
      <c r="I6" s="478" t="s">
        <v>70</v>
      </c>
      <c r="J6" s="478" t="s">
        <v>61</v>
      </c>
      <c r="K6" s="478" t="s">
        <v>27</v>
      </c>
      <c r="L6" s="482" t="s">
        <v>65</v>
      </c>
      <c r="M6" s="482" t="s">
        <v>93</v>
      </c>
      <c r="N6" s="483" t="s">
        <v>91</v>
      </c>
      <c r="O6" s="483"/>
      <c r="P6" s="483" t="s">
        <v>88</v>
      </c>
      <c r="Q6" s="482" t="s">
        <v>82</v>
      </c>
      <c r="R6" s="478" t="s">
        <v>83</v>
      </c>
      <c r="S6" s="482"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5" ht="97.5" customHeight="1" x14ac:dyDescent="0.25">
      <c r="A7" s="491"/>
      <c r="B7" s="491"/>
      <c r="C7" s="479"/>
      <c r="D7" s="478"/>
      <c r="E7" s="478"/>
      <c r="F7" s="478"/>
      <c r="G7" s="478"/>
      <c r="H7" s="478"/>
      <c r="I7" s="478"/>
      <c r="J7" s="478"/>
      <c r="K7" s="478"/>
      <c r="L7" s="482" t="s">
        <v>66</v>
      </c>
      <c r="M7" s="482"/>
      <c r="N7" s="281" t="s">
        <v>80</v>
      </c>
      <c r="O7" s="281" t="s">
        <v>81</v>
      </c>
      <c r="P7" s="483"/>
      <c r="Q7" s="482"/>
      <c r="R7" s="478"/>
      <c r="S7" s="482" t="s">
        <v>67</v>
      </c>
      <c r="T7" s="478"/>
      <c r="U7" s="478"/>
      <c r="V7" s="478"/>
      <c r="W7" s="478"/>
      <c r="X7" s="280" t="s">
        <v>5</v>
      </c>
      <c r="Y7" s="280" t="s">
        <v>6</v>
      </c>
      <c r="Z7" s="280" t="s">
        <v>74</v>
      </c>
      <c r="AA7" s="280" t="s">
        <v>5</v>
      </c>
      <c r="AB7" s="280" t="s">
        <v>6</v>
      </c>
      <c r="AC7" s="280" t="s">
        <v>75</v>
      </c>
      <c r="AD7" s="280" t="s">
        <v>5</v>
      </c>
      <c r="AE7" s="280" t="s">
        <v>6</v>
      </c>
      <c r="AF7" s="280" t="s">
        <v>76</v>
      </c>
      <c r="AG7" s="479"/>
      <c r="AH7" s="479"/>
      <c r="AK7" s="211" t="s">
        <v>64</v>
      </c>
      <c r="AL7" s="211" t="s">
        <v>62</v>
      </c>
      <c r="AM7" s="70" t="s">
        <v>71</v>
      </c>
    </row>
    <row r="8" spans="1:45" x14ac:dyDescent="0.25">
      <c r="A8" s="278">
        <v>1</v>
      </c>
      <c r="B8" s="278">
        <v>2</v>
      </c>
      <c r="C8" s="278">
        <v>3</v>
      </c>
      <c r="D8" s="278">
        <v>4</v>
      </c>
      <c r="E8" s="278">
        <v>5</v>
      </c>
      <c r="F8" s="278">
        <v>6</v>
      </c>
      <c r="G8" s="278">
        <v>7</v>
      </c>
      <c r="H8" s="278">
        <v>8</v>
      </c>
      <c r="I8" s="278">
        <v>9</v>
      </c>
      <c r="J8" s="278">
        <v>10</v>
      </c>
      <c r="K8" s="278">
        <v>11</v>
      </c>
      <c r="L8" s="278">
        <v>12</v>
      </c>
      <c r="M8" s="278">
        <v>13</v>
      </c>
      <c r="N8" s="278">
        <v>14</v>
      </c>
      <c r="O8" s="278">
        <v>15</v>
      </c>
      <c r="P8" s="278">
        <v>16</v>
      </c>
      <c r="Q8" s="278">
        <v>17</v>
      </c>
      <c r="R8" s="278">
        <v>18</v>
      </c>
      <c r="S8" s="278">
        <v>19</v>
      </c>
      <c r="T8" s="278">
        <v>20</v>
      </c>
      <c r="U8" s="278">
        <v>21</v>
      </c>
      <c r="V8" s="278">
        <v>22</v>
      </c>
      <c r="W8" s="278">
        <v>23</v>
      </c>
      <c r="X8" s="278">
        <v>24</v>
      </c>
      <c r="Y8" s="278">
        <v>25</v>
      </c>
      <c r="Z8" s="278">
        <v>26</v>
      </c>
      <c r="AA8" s="278">
        <v>27</v>
      </c>
      <c r="AB8" s="278">
        <v>28</v>
      </c>
      <c r="AC8" s="278">
        <v>29</v>
      </c>
      <c r="AD8" s="278">
        <v>30</v>
      </c>
      <c r="AE8" s="278">
        <v>31</v>
      </c>
      <c r="AF8" s="278">
        <v>32</v>
      </c>
      <c r="AG8" s="278">
        <v>33</v>
      </c>
      <c r="AH8" s="278">
        <v>34</v>
      </c>
      <c r="AN8" s="212" t="s">
        <v>116</v>
      </c>
      <c r="AO8" s="212" t="s">
        <v>117</v>
      </c>
      <c r="AP8" s="212" t="s">
        <v>118</v>
      </c>
      <c r="AQ8" s="212" t="s">
        <v>119</v>
      </c>
    </row>
    <row r="9" spans="1:45" ht="16.5" customHeight="1" x14ac:dyDescent="0.25">
      <c r="A9" s="278">
        <v>1</v>
      </c>
      <c r="B9" s="44" t="s">
        <v>14</v>
      </c>
      <c r="C9" s="278">
        <v>1</v>
      </c>
      <c r="D9" s="213">
        <v>25.596</v>
      </c>
      <c r="E9" s="214">
        <f>C9*D9</f>
        <v>25.6</v>
      </c>
      <c r="F9" s="215">
        <f>E9*12</f>
        <v>307.2</v>
      </c>
      <c r="G9" s="154"/>
      <c r="H9" s="154"/>
      <c r="I9" s="154"/>
      <c r="J9" s="154"/>
      <c r="K9" s="154">
        <f>F9*0.4</f>
        <v>122.9</v>
      </c>
      <c r="L9" s="154">
        <f>F9*$L$4</f>
        <v>103.9</v>
      </c>
      <c r="M9" s="154">
        <f>F9+G9+H9+I9+J9+K9+L9</f>
        <v>534</v>
      </c>
      <c r="N9" s="171">
        <v>0.98</v>
      </c>
      <c r="O9" s="154">
        <f>M9*N9</f>
        <v>523.29999999999995</v>
      </c>
      <c r="P9" s="154">
        <f>M9+O9</f>
        <v>1057.3</v>
      </c>
      <c r="Q9" s="154">
        <f>P9*0.8</f>
        <v>845.8</v>
      </c>
      <c r="R9" s="154">
        <f>P9*0.8</f>
        <v>845.8</v>
      </c>
      <c r="S9" s="154">
        <f>(P9+Q9+R9)*0.032</f>
        <v>88</v>
      </c>
      <c r="T9" s="154">
        <f>P9+Q9+R9+S9</f>
        <v>2836.9</v>
      </c>
      <c r="U9" s="486">
        <v>1</v>
      </c>
      <c r="V9" s="154">
        <f>T9*$U$9</f>
        <v>2836.9</v>
      </c>
      <c r="W9" s="154">
        <f>AQ9</f>
        <v>597.20000000000005</v>
      </c>
      <c r="X9" s="278">
        <v>1</v>
      </c>
      <c r="Y9" s="24">
        <v>30</v>
      </c>
      <c r="Z9" s="48">
        <f>X9*Y9</f>
        <v>30</v>
      </c>
      <c r="AA9" s="278"/>
      <c r="AB9" s="24">
        <v>15</v>
      </c>
      <c r="AC9" s="48">
        <f>AA9*AB9</f>
        <v>0</v>
      </c>
      <c r="AD9" s="278"/>
      <c r="AE9" s="24">
        <v>30</v>
      </c>
      <c r="AF9" s="48">
        <f>AD9*AE9</f>
        <v>0</v>
      </c>
      <c r="AG9" s="278">
        <f t="shared" ref="AG9:AG51" si="0">(Z9+AC9+AF9)*1%*30</f>
        <v>9</v>
      </c>
      <c r="AH9" s="48">
        <f t="shared" ref="AH9:AH27" si="1">Z9+AC9+AF9+AG9</f>
        <v>39</v>
      </c>
      <c r="AI9" s="34">
        <f t="shared" ref="AI9:AI36" si="2">V9/12/C9*1000</f>
        <v>236408.3</v>
      </c>
      <c r="AJ9" s="34"/>
      <c r="AK9" s="216">
        <f t="shared" ref="AK9:AK41" si="3">V9/C9</f>
        <v>2836.9</v>
      </c>
      <c r="AL9" s="216">
        <f>((979*0.302)+((AK9-979)*0.182))</f>
        <v>633.79999999999995</v>
      </c>
      <c r="AM9" s="217">
        <f>AL9/AK9</f>
        <v>0.223</v>
      </c>
      <c r="AN9" s="50">
        <f>1150*0.22*C9+(V9-1150*C9)*0.1</f>
        <v>421.7</v>
      </c>
      <c r="AO9" s="50">
        <f>865*0.029</f>
        <v>25.1</v>
      </c>
      <c r="AP9" s="50">
        <f>V9*0.053</f>
        <v>150.4</v>
      </c>
      <c r="AQ9" s="50">
        <f>SUM(AN9:AP9)</f>
        <v>597.20000000000005</v>
      </c>
      <c r="AS9" s="66"/>
    </row>
    <row r="10" spans="1:45" x14ac:dyDescent="0.25">
      <c r="A10" s="278">
        <v>2</v>
      </c>
      <c r="B10" s="44" t="s">
        <v>125</v>
      </c>
      <c r="C10" s="278">
        <v>1</v>
      </c>
      <c r="D10" s="177">
        <v>17.917000000000002</v>
      </c>
      <c r="E10" s="214">
        <f>C10*D10</f>
        <v>17.920000000000002</v>
      </c>
      <c r="F10" s="215">
        <f>E10*12</f>
        <v>215</v>
      </c>
      <c r="G10" s="154"/>
      <c r="H10" s="154">
        <v>8.6999999999999993</v>
      </c>
      <c r="I10" s="154"/>
      <c r="J10" s="154"/>
      <c r="K10" s="154">
        <f>F10*0.4</f>
        <v>86</v>
      </c>
      <c r="L10" s="154">
        <f t="shared" ref="L10:L51" si="4">F10*$L$4</f>
        <v>72.8</v>
      </c>
      <c r="M10" s="154">
        <f>F10+G10+H10+I10+J10+K10+L10</f>
        <v>382.5</v>
      </c>
      <c r="N10" s="171">
        <v>0.47</v>
      </c>
      <c r="O10" s="154">
        <f>M10*N10</f>
        <v>179.8</v>
      </c>
      <c r="P10" s="154">
        <f>M10+O10</f>
        <v>562.29999999999995</v>
      </c>
      <c r="Q10" s="154">
        <f>P10*0.8</f>
        <v>449.8</v>
      </c>
      <c r="R10" s="154">
        <f>P10*0.8</f>
        <v>449.8</v>
      </c>
      <c r="S10" s="154">
        <f>(P10+Q10+R10)*0.032</f>
        <v>46.8</v>
      </c>
      <c r="T10" s="154">
        <f>P10+Q10+R10+S10</f>
        <v>1508.7</v>
      </c>
      <c r="U10" s="487"/>
      <c r="V10" s="154">
        <f t="shared" ref="V10:V50" si="5">T10*$U$9</f>
        <v>1508.7</v>
      </c>
      <c r="W10" s="154">
        <f>AQ10</f>
        <v>394</v>
      </c>
      <c r="X10" s="278"/>
      <c r="Y10" s="24">
        <v>30</v>
      </c>
      <c r="Z10" s="48">
        <f>X10*Y10</f>
        <v>0</v>
      </c>
      <c r="AA10" s="278"/>
      <c r="AB10" s="24">
        <v>15</v>
      </c>
      <c r="AC10" s="48">
        <f>AA10*AB10</f>
        <v>0</v>
      </c>
      <c r="AD10" s="278"/>
      <c r="AE10" s="24">
        <v>30</v>
      </c>
      <c r="AF10" s="48">
        <f>AD10*AE10</f>
        <v>0</v>
      </c>
      <c r="AG10" s="278">
        <f t="shared" si="0"/>
        <v>0</v>
      </c>
      <c r="AH10" s="48">
        <f t="shared" si="1"/>
        <v>0</v>
      </c>
      <c r="AI10" s="34">
        <f t="shared" si="2"/>
        <v>125725</v>
      </c>
      <c r="AJ10" s="34"/>
      <c r="AK10" s="216">
        <f t="shared" si="3"/>
        <v>1508.7</v>
      </c>
      <c r="AL10" s="216">
        <f t="shared" ref="AL10:AL41" si="6">((979*0.302)+((AK10-979)*0.182))</f>
        <v>392.1</v>
      </c>
      <c r="AM10" s="217">
        <f>AL10/AK10</f>
        <v>0.26</v>
      </c>
      <c r="AN10" s="50">
        <f>1150*0.22*C10+(V10-1150*C10)*0.1</f>
        <v>288.89999999999998</v>
      </c>
      <c r="AO10" s="50">
        <f>865*0.029</f>
        <v>25.1</v>
      </c>
      <c r="AP10" s="50">
        <f>V10*0.053</f>
        <v>80</v>
      </c>
      <c r="AQ10" s="50">
        <f t="shared" ref="AQ10:AQ52" si="7">SUM(AN10:AP10)</f>
        <v>394</v>
      </c>
      <c r="AS10" s="66"/>
    </row>
    <row r="11" spans="1:45" x14ac:dyDescent="0.25">
      <c r="A11" s="278">
        <v>3</v>
      </c>
      <c r="B11" s="44" t="s">
        <v>125</v>
      </c>
      <c r="C11" s="278">
        <v>1</v>
      </c>
      <c r="D11" s="177">
        <v>17.917000000000002</v>
      </c>
      <c r="E11" s="214">
        <f>C11*D11</f>
        <v>17.920000000000002</v>
      </c>
      <c r="F11" s="215">
        <f>E11*12</f>
        <v>215</v>
      </c>
      <c r="G11" s="154"/>
      <c r="H11" s="154">
        <v>7.9</v>
      </c>
      <c r="I11" s="154"/>
      <c r="J11" s="154"/>
      <c r="K11" s="154">
        <f>F11*0.25</f>
        <v>53.8</v>
      </c>
      <c r="L11" s="154">
        <f t="shared" si="4"/>
        <v>72.8</v>
      </c>
      <c r="M11" s="154">
        <f>F11+G11+H11+I11+J11+K11+L11</f>
        <v>349.5</v>
      </c>
      <c r="N11" s="171">
        <v>0.47</v>
      </c>
      <c r="O11" s="154">
        <f>M11*N11</f>
        <v>164.3</v>
      </c>
      <c r="P11" s="154">
        <f>M11+O11</f>
        <v>513.79999999999995</v>
      </c>
      <c r="Q11" s="154">
        <f>P11*0.8</f>
        <v>411</v>
      </c>
      <c r="R11" s="154">
        <f>P11*0.8</f>
        <v>411</v>
      </c>
      <c r="S11" s="154">
        <f>(P11+Q11+R11)*0.032</f>
        <v>42.7</v>
      </c>
      <c r="T11" s="154">
        <f>P11+Q11+R11+S11</f>
        <v>1378.5</v>
      </c>
      <c r="U11" s="487"/>
      <c r="V11" s="154">
        <f t="shared" si="5"/>
        <v>1378.5</v>
      </c>
      <c r="W11" s="154">
        <f>AQ11</f>
        <v>374.1</v>
      </c>
      <c r="X11" s="278">
        <v>1</v>
      </c>
      <c r="Y11" s="24">
        <v>30</v>
      </c>
      <c r="Z11" s="48">
        <f>X11*Y11</f>
        <v>30</v>
      </c>
      <c r="AA11" s="278"/>
      <c r="AB11" s="24">
        <v>15</v>
      </c>
      <c r="AC11" s="48">
        <f>AA11*AB11</f>
        <v>0</v>
      </c>
      <c r="AD11" s="278"/>
      <c r="AE11" s="24">
        <v>30</v>
      </c>
      <c r="AF11" s="48">
        <f>AD11*AE11</f>
        <v>0</v>
      </c>
      <c r="AG11" s="278">
        <f t="shared" si="0"/>
        <v>9</v>
      </c>
      <c r="AH11" s="48">
        <f t="shared" si="1"/>
        <v>39</v>
      </c>
      <c r="AI11" s="34">
        <f t="shared" si="2"/>
        <v>114875</v>
      </c>
      <c r="AJ11" s="34"/>
      <c r="AK11" s="216">
        <f t="shared" si="3"/>
        <v>1378.5</v>
      </c>
      <c r="AL11" s="216">
        <f t="shared" si="6"/>
        <v>368.4</v>
      </c>
      <c r="AM11" s="217">
        <f>AL11/AK11</f>
        <v>0.26700000000000002</v>
      </c>
      <c r="AN11" s="50">
        <f>1150*0.22*C11+(V11-1150*C11)*0.1</f>
        <v>275.89999999999998</v>
      </c>
      <c r="AO11" s="50">
        <f>865*0.029</f>
        <v>25.1</v>
      </c>
      <c r="AP11" s="50">
        <f>V11*0.053</f>
        <v>73.099999999999994</v>
      </c>
      <c r="AQ11" s="50">
        <f t="shared" si="7"/>
        <v>374.1</v>
      </c>
      <c r="AS11" s="66"/>
    </row>
    <row r="12" spans="1:45" x14ac:dyDescent="0.25">
      <c r="A12" s="278">
        <v>4</v>
      </c>
      <c r="B12" s="44" t="s">
        <v>125</v>
      </c>
      <c r="C12" s="278">
        <v>1</v>
      </c>
      <c r="D12" s="177">
        <v>17.917000000000002</v>
      </c>
      <c r="E12" s="214">
        <f>C12*D12</f>
        <v>17.920000000000002</v>
      </c>
      <c r="F12" s="215">
        <f>E12*12</f>
        <v>215</v>
      </c>
      <c r="G12" s="154"/>
      <c r="H12" s="154"/>
      <c r="I12" s="154"/>
      <c r="J12" s="154"/>
      <c r="K12" s="154"/>
      <c r="L12" s="154">
        <f t="shared" si="4"/>
        <v>72.8</v>
      </c>
      <c r="M12" s="154">
        <f>F12+G12+H12+I12+J12+K12+L12</f>
        <v>287.8</v>
      </c>
      <c r="N12" s="171">
        <v>0.47</v>
      </c>
      <c r="O12" s="154">
        <f>M12*N12</f>
        <v>135.30000000000001</v>
      </c>
      <c r="P12" s="154">
        <f>M12+O12</f>
        <v>423.1</v>
      </c>
      <c r="Q12" s="154">
        <f>P12*0.8</f>
        <v>338.5</v>
      </c>
      <c r="R12" s="154">
        <f>P12*0.8</f>
        <v>338.5</v>
      </c>
      <c r="S12" s="154">
        <f>(P12+Q12+R12)*0.032</f>
        <v>35.200000000000003</v>
      </c>
      <c r="T12" s="154">
        <f>P12+Q12+R12+S12</f>
        <v>1135.3</v>
      </c>
      <c r="U12" s="487"/>
      <c r="V12" s="154">
        <f t="shared" si="5"/>
        <v>1135.3</v>
      </c>
      <c r="W12" s="154">
        <f>AQ12</f>
        <v>336.8</v>
      </c>
      <c r="X12" s="278">
        <v>1</v>
      </c>
      <c r="Y12" s="24">
        <v>30</v>
      </c>
      <c r="Z12" s="48">
        <f>X12*Y12</f>
        <v>30</v>
      </c>
      <c r="AA12" s="278">
        <v>2</v>
      </c>
      <c r="AB12" s="24">
        <v>15</v>
      </c>
      <c r="AC12" s="48">
        <f>AA12*AB12</f>
        <v>30</v>
      </c>
      <c r="AD12" s="278">
        <v>1</v>
      </c>
      <c r="AE12" s="24">
        <v>30</v>
      </c>
      <c r="AF12" s="48">
        <f>AD12*AE12</f>
        <v>30</v>
      </c>
      <c r="AG12" s="278">
        <f t="shared" si="0"/>
        <v>27</v>
      </c>
      <c r="AH12" s="48">
        <f t="shared" si="1"/>
        <v>117</v>
      </c>
      <c r="AI12" s="34">
        <f t="shared" si="2"/>
        <v>94608.3</v>
      </c>
      <c r="AJ12" s="34"/>
      <c r="AK12" s="216">
        <f t="shared" si="3"/>
        <v>1135.3</v>
      </c>
      <c r="AL12" s="216">
        <f t="shared" si="6"/>
        <v>324.10000000000002</v>
      </c>
      <c r="AM12" s="217">
        <f>AL12/AK12</f>
        <v>0.28499999999999998</v>
      </c>
      <c r="AN12" s="50">
        <f>1150*0.22*C12+(V12-1150*C12)*0.1</f>
        <v>251.5</v>
      </c>
      <c r="AO12" s="50">
        <f>865*0.029</f>
        <v>25.1</v>
      </c>
      <c r="AP12" s="50">
        <f>AK12*0.053</f>
        <v>60.2</v>
      </c>
      <c r="AQ12" s="50">
        <f>SUM(AN12:AP12)*C12</f>
        <v>336.8</v>
      </c>
      <c r="AS12" s="66"/>
    </row>
    <row r="13" spans="1:45" ht="14.25" customHeight="1" x14ac:dyDescent="0.25">
      <c r="A13" s="278">
        <v>5</v>
      </c>
      <c r="B13" s="218" t="s">
        <v>16</v>
      </c>
      <c r="C13" s="278">
        <v>7</v>
      </c>
      <c r="D13" s="177">
        <v>11.061999999999999</v>
      </c>
      <c r="E13" s="171">
        <f t="shared" ref="E13:E19" si="8">C13*D13</f>
        <v>77.430000000000007</v>
      </c>
      <c r="F13" s="154">
        <f t="shared" ref="F13:F19" si="9">E13*12</f>
        <v>929.2</v>
      </c>
      <c r="G13" s="154"/>
      <c r="H13" s="154">
        <f>0.539+1.617+0.539+2.696+1.078</f>
        <v>6.5</v>
      </c>
      <c r="I13" s="154"/>
      <c r="J13" s="154"/>
      <c r="K13" s="154">
        <f>D13*0.2*12+D13*0.25*4*12+D13*0.4*2</f>
        <v>168.1</v>
      </c>
      <c r="L13" s="154">
        <f t="shared" si="4"/>
        <v>314.39999999999998</v>
      </c>
      <c r="M13" s="154">
        <f t="shared" ref="M13:M19" si="10">F13+G13+H13+I13+J13+K13+L13</f>
        <v>1418.2</v>
      </c>
      <c r="N13" s="171">
        <v>0.43</v>
      </c>
      <c r="O13" s="154">
        <f t="shared" ref="O13:O19" si="11">M13*N13</f>
        <v>609.79999999999995</v>
      </c>
      <c r="P13" s="154">
        <f t="shared" ref="P13:P19" si="12">M13+O13</f>
        <v>2028</v>
      </c>
      <c r="Q13" s="154">
        <f t="shared" ref="Q13:Q19" si="13">P13*0.8</f>
        <v>1622.4</v>
      </c>
      <c r="R13" s="154">
        <f t="shared" ref="R13:R19" si="14">P13*0.8</f>
        <v>1622.4</v>
      </c>
      <c r="S13" s="154">
        <f t="shared" ref="S13:S19" si="15">(P13+Q13+R13)*0.032</f>
        <v>168.7</v>
      </c>
      <c r="T13" s="154">
        <f t="shared" ref="T13:T19" si="16">P13+Q13+R13+S13</f>
        <v>5441.5</v>
      </c>
      <c r="U13" s="487"/>
      <c r="V13" s="154">
        <f t="shared" si="5"/>
        <v>5441.5</v>
      </c>
      <c r="W13" s="154">
        <f>V13*0.302</f>
        <v>1643.3</v>
      </c>
      <c r="X13" s="54">
        <v>4</v>
      </c>
      <c r="Y13" s="24">
        <v>30</v>
      </c>
      <c r="Z13" s="48">
        <f t="shared" ref="Z13:Z19" si="17">X13*Y13</f>
        <v>120</v>
      </c>
      <c r="AA13" s="54">
        <v>1</v>
      </c>
      <c r="AB13" s="24">
        <v>15</v>
      </c>
      <c r="AC13" s="48">
        <f t="shared" ref="AC13:AC19" si="18">AA13*AB13</f>
        <v>15</v>
      </c>
      <c r="AD13" s="54"/>
      <c r="AE13" s="24">
        <v>30</v>
      </c>
      <c r="AF13" s="48">
        <f t="shared" ref="AF13:AF19" si="19">AD13*AE13</f>
        <v>0</v>
      </c>
      <c r="AG13" s="278">
        <f t="shared" si="0"/>
        <v>40.5</v>
      </c>
      <c r="AH13" s="48">
        <f t="shared" si="1"/>
        <v>175.5</v>
      </c>
      <c r="AI13" s="34">
        <f t="shared" si="2"/>
        <v>64779.8</v>
      </c>
      <c r="AJ13" s="34"/>
      <c r="AK13" s="216">
        <f t="shared" si="3"/>
        <v>777.4</v>
      </c>
      <c r="AL13" s="216">
        <f t="shared" si="6"/>
        <v>259</v>
      </c>
      <c r="AM13" s="217">
        <v>0.30199999999999999</v>
      </c>
      <c r="AN13" s="50"/>
      <c r="AQ13" s="50">
        <f t="shared" si="7"/>
        <v>0</v>
      </c>
      <c r="AS13" s="66"/>
    </row>
    <row r="14" spans="1:45" x14ac:dyDescent="0.25">
      <c r="A14" s="278">
        <v>6</v>
      </c>
      <c r="B14" s="218" t="s">
        <v>16</v>
      </c>
      <c r="C14" s="278">
        <v>1</v>
      </c>
      <c r="D14" s="177">
        <v>11.061999999999999</v>
      </c>
      <c r="E14" s="171">
        <f>C14*D14</f>
        <v>11.06</v>
      </c>
      <c r="F14" s="154">
        <f t="shared" si="9"/>
        <v>132.69999999999999</v>
      </c>
      <c r="G14" s="154"/>
      <c r="H14" s="34">
        <f>5.4+1.617</f>
        <v>7</v>
      </c>
      <c r="I14" s="154"/>
      <c r="J14" s="154"/>
      <c r="K14" s="154">
        <f>F14*0.4</f>
        <v>53.1</v>
      </c>
      <c r="L14" s="154">
        <f t="shared" si="4"/>
        <v>44.9</v>
      </c>
      <c r="M14" s="154">
        <f t="shared" si="10"/>
        <v>237.7</v>
      </c>
      <c r="N14" s="171">
        <v>0.43</v>
      </c>
      <c r="O14" s="154">
        <f t="shared" si="11"/>
        <v>102.2</v>
      </c>
      <c r="P14" s="154">
        <f t="shared" si="12"/>
        <v>339.9</v>
      </c>
      <c r="Q14" s="154">
        <f t="shared" si="13"/>
        <v>271.89999999999998</v>
      </c>
      <c r="R14" s="154">
        <f t="shared" si="14"/>
        <v>271.89999999999998</v>
      </c>
      <c r="S14" s="154">
        <f t="shared" si="15"/>
        <v>28.3</v>
      </c>
      <c r="T14" s="154">
        <f t="shared" si="16"/>
        <v>912</v>
      </c>
      <c r="U14" s="487"/>
      <c r="V14" s="154">
        <f t="shared" si="5"/>
        <v>912</v>
      </c>
      <c r="W14" s="154">
        <f>AQ14</f>
        <v>274</v>
      </c>
      <c r="X14" s="54">
        <v>1</v>
      </c>
      <c r="Y14" s="24">
        <v>30</v>
      </c>
      <c r="Z14" s="48">
        <f t="shared" si="17"/>
        <v>30</v>
      </c>
      <c r="AA14" s="54"/>
      <c r="AB14" s="24">
        <v>15</v>
      </c>
      <c r="AC14" s="48">
        <f t="shared" si="18"/>
        <v>0</v>
      </c>
      <c r="AD14" s="54"/>
      <c r="AE14" s="24">
        <v>30</v>
      </c>
      <c r="AF14" s="48">
        <f>AD14*AE14</f>
        <v>0</v>
      </c>
      <c r="AG14" s="278">
        <f t="shared" si="0"/>
        <v>9</v>
      </c>
      <c r="AH14" s="48">
        <f t="shared" si="1"/>
        <v>39</v>
      </c>
      <c r="AI14" s="34">
        <f t="shared" si="2"/>
        <v>76000</v>
      </c>
      <c r="AJ14" s="34"/>
      <c r="AK14" s="216">
        <f t="shared" si="3"/>
        <v>912</v>
      </c>
      <c r="AL14" s="216">
        <f t="shared" si="6"/>
        <v>283.5</v>
      </c>
      <c r="AM14" s="217">
        <f>AL14/AK14</f>
        <v>0.311</v>
      </c>
      <c r="AN14" s="50">
        <f>AK14*0.22</f>
        <v>200.6</v>
      </c>
      <c r="AO14" s="50">
        <f>865*0.029</f>
        <v>25.1</v>
      </c>
      <c r="AP14" s="50">
        <f>AK14*0.053</f>
        <v>48.3</v>
      </c>
      <c r="AQ14" s="50">
        <f>SUM(AN14:AP14)*C14</f>
        <v>274</v>
      </c>
      <c r="AS14" s="66"/>
    </row>
    <row r="15" spans="1:45" ht="26.4" x14ac:dyDescent="0.25">
      <c r="A15" s="278">
        <v>8</v>
      </c>
      <c r="B15" s="218" t="s">
        <v>45</v>
      </c>
      <c r="C15" s="278">
        <v>1</v>
      </c>
      <c r="D15" s="177">
        <v>11.061999999999999</v>
      </c>
      <c r="E15" s="171">
        <f t="shared" si="8"/>
        <v>11.06</v>
      </c>
      <c r="F15" s="154">
        <f t="shared" si="9"/>
        <v>132.69999999999999</v>
      </c>
      <c r="G15" s="154"/>
      <c r="H15" s="154">
        <v>2.4</v>
      </c>
      <c r="I15" s="154"/>
      <c r="J15" s="154"/>
      <c r="K15" s="154">
        <f>F15*0.4</f>
        <v>53.1</v>
      </c>
      <c r="L15" s="154">
        <f t="shared" si="4"/>
        <v>44.9</v>
      </c>
      <c r="M15" s="154">
        <f t="shared" si="10"/>
        <v>233.1</v>
      </c>
      <c r="N15" s="171">
        <v>0.43</v>
      </c>
      <c r="O15" s="154">
        <f t="shared" si="11"/>
        <v>100.2</v>
      </c>
      <c r="P15" s="154">
        <f t="shared" si="12"/>
        <v>333.3</v>
      </c>
      <c r="Q15" s="154">
        <f t="shared" si="13"/>
        <v>266.60000000000002</v>
      </c>
      <c r="R15" s="154">
        <f t="shared" si="14"/>
        <v>266.60000000000002</v>
      </c>
      <c r="S15" s="154">
        <f t="shared" si="15"/>
        <v>27.7</v>
      </c>
      <c r="T15" s="154">
        <f t="shared" si="16"/>
        <v>894.2</v>
      </c>
      <c r="U15" s="487"/>
      <c r="V15" s="154">
        <f t="shared" si="5"/>
        <v>894.2</v>
      </c>
      <c r="W15" s="154">
        <f>AQ15</f>
        <v>269.2</v>
      </c>
      <c r="X15" s="54"/>
      <c r="Y15" s="24">
        <v>30</v>
      </c>
      <c r="Z15" s="48">
        <f t="shared" si="17"/>
        <v>0</v>
      </c>
      <c r="AA15" s="54"/>
      <c r="AB15" s="24">
        <v>15</v>
      </c>
      <c r="AC15" s="48">
        <f t="shared" si="18"/>
        <v>0</v>
      </c>
      <c r="AD15" s="54"/>
      <c r="AE15" s="24">
        <v>30</v>
      </c>
      <c r="AF15" s="48">
        <f t="shared" si="19"/>
        <v>0</v>
      </c>
      <c r="AG15" s="278">
        <f t="shared" si="0"/>
        <v>0</v>
      </c>
      <c r="AH15" s="48">
        <f t="shared" si="1"/>
        <v>0</v>
      </c>
      <c r="AI15" s="34">
        <f t="shared" si="2"/>
        <v>74516.7</v>
      </c>
      <c r="AJ15" s="34"/>
      <c r="AK15" s="216">
        <f t="shared" si="3"/>
        <v>894.2</v>
      </c>
      <c r="AL15" s="216">
        <f t="shared" si="6"/>
        <v>280.2</v>
      </c>
      <c r="AM15" s="217">
        <v>0.30199999999999999</v>
      </c>
      <c r="AN15" s="50">
        <f>AK15*0.22</f>
        <v>196.7</v>
      </c>
      <c r="AO15" s="50">
        <f>865*0.029</f>
        <v>25.1</v>
      </c>
      <c r="AP15" s="50">
        <f>AK15*0.053</f>
        <v>47.4</v>
      </c>
      <c r="AQ15" s="50">
        <f t="shared" si="7"/>
        <v>269.2</v>
      </c>
      <c r="AS15" s="66"/>
    </row>
    <row r="16" spans="1:45" ht="26.4" x14ac:dyDescent="0.25">
      <c r="A16" s="278">
        <v>9</v>
      </c>
      <c r="B16" s="218" t="s">
        <v>46</v>
      </c>
      <c r="C16" s="278">
        <v>1</v>
      </c>
      <c r="D16" s="177">
        <v>11.061999999999999</v>
      </c>
      <c r="E16" s="171">
        <f t="shared" si="8"/>
        <v>11.06</v>
      </c>
      <c r="F16" s="154">
        <f t="shared" si="9"/>
        <v>132.69999999999999</v>
      </c>
      <c r="G16" s="154"/>
      <c r="H16" s="154">
        <v>2.4</v>
      </c>
      <c r="I16" s="154"/>
      <c r="J16" s="154"/>
      <c r="K16" s="154">
        <f>F16*0.4</f>
        <v>53.1</v>
      </c>
      <c r="L16" s="154">
        <f t="shared" si="4"/>
        <v>44.9</v>
      </c>
      <c r="M16" s="154">
        <f t="shared" si="10"/>
        <v>233.1</v>
      </c>
      <c r="N16" s="171">
        <v>0.43</v>
      </c>
      <c r="O16" s="154">
        <f t="shared" si="11"/>
        <v>100.2</v>
      </c>
      <c r="P16" s="154">
        <f t="shared" si="12"/>
        <v>333.3</v>
      </c>
      <c r="Q16" s="154">
        <f t="shared" si="13"/>
        <v>266.60000000000002</v>
      </c>
      <c r="R16" s="154">
        <f t="shared" si="14"/>
        <v>266.60000000000002</v>
      </c>
      <c r="S16" s="154">
        <f t="shared" si="15"/>
        <v>27.7</v>
      </c>
      <c r="T16" s="154">
        <f t="shared" si="16"/>
        <v>894.2</v>
      </c>
      <c r="U16" s="487"/>
      <c r="V16" s="154">
        <f t="shared" si="5"/>
        <v>894.2</v>
      </c>
      <c r="W16" s="154">
        <f>AQ16</f>
        <v>269.2</v>
      </c>
      <c r="X16" s="54">
        <v>1</v>
      </c>
      <c r="Y16" s="24">
        <v>30</v>
      </c>
      <c r="Z16" s="48">
        <f t="shared" si="17"/>
        <v>30</v>
      </c>
      <c r="AA16" s="54">
        <v>1</v>
      </c>
      <c r="AB16" s="24">
        <v>15</v>
      </c>
      <c r="AC16" s="48">
        <f t="shared" si="18"/>
        <v>15</v>
      </c>
      <c r="AD16" s="54">
        <v>1</v>
      </c>
      <c r="AE16" s="24">
        <v>30</v>
      </c>
      <c r="AF16" s="48">
        <f t="shared" si="19"/>
        <v>30</v>
      </c>
      <c r="AG16" s="278">
        <f t="shared" si="0"/>
        <v>22.5</v>
      </c>
      <c r="AH16" s="48">
        <f t="shared" si="1"/>
        <v>97.5</v>
      </c>
      <c r="AI16" s="34">
        <f t="shared" si="2"/>
        <v>74516.7</v>
      </c>
      <c r="AJ16" s="34"/>
      <c r="AK16" s="216">
        <f t="shared" si="3"/>
        <v>894.2</v>
      </c>
      <c r="AL16" s="216">
        <f t="shared" si="6"/>
        <v>280.2</v>
      </c>
      <c r="AM16" s="217">
        <f>AL16/AK16</f>
        <v>0.313</v>
      </c>
      <c r="AN16" s="50">
        <f>AK16*0.22</f>
        <v>196.7</v>
      </c>
      <c r="AO16" s="50">
        <f>865*0.029</f>
        <v>25.1</v>
      </c>
      <c r="AP16" s="50">
        <f>AK16*0.053</f>
        <v>47.4</v>
      </c>
      <c r="AQ16" s="50">
        <f t="shared" si="7"/>
        <v>269.2</v>
      </c>
      <c r="AS16" s="66"/>
    </row>
    <row r="17" spans="1:45" ht="26.4" x14ac:dyDescent="0.25">
      <c r="A17" s="278">
        <v>10</v>
      </c>
      <c r="B17" s="218" t="s">
        <v>100</v>
      </c>
      <c r="C17" s="278">
        <v>1</v>
      </c>
      <c r="D17" s="177">
        <v>11.061999999999999</v>
      </c>
      <c r="E17" s="171">
        <f>C17*D17</f>
        <v>11.06</v>
      </c>
      <c r="F17" s="154">
        <f>E17*12</f>
        <v>132.69999999999999</v>
      </c>
      <c r="G17" s="154"/>
      <c r="H17" s="154">
        <v>5.4</v>
      </c>
      <c r="I17" s="154"/>
      <c r="J17" s="154"/>
      <c r="K17" s="154"/>
      <c r="L17" s="154">
        <f t="shared" si="4"/>
        <v>44.9</v>
      </c>
      <c r="M17" s="154">
        <f>F17+G17+H17+I17+J17+K17+L17</f>
        <v>183</v>
      </c>
      <c r="N17" s="171">
        <v>0.43</v>
      </c>
      <c r="O17" s="154">
        <f>M17*N17</f>
        <v>78.7</v>
      </c>
      <c r="P17" s="154">
        <f>M17+O17</f>
        <v>261.7</v>
      </c>
      <c r="Q17" s="154">
        <f>P17*0.8</f>
        <v>209.4</v>
      </c>
      <c r="R17" s="154">
        <f>P17*0.8</f>
        <v>209.4</v>
      </c>
      <c r="S17" s="154">
        <f>(P17+Q17+R17)*0.032</f>
        <v>21.8</v>
      </c>
      <c r="T17" s="154">
        <f>P17+Q17+R17+S17</f>
        <v>702.3</v>
      </c>
      <c r="U17" s="487"/>
      <c r="V17" s="154">
        <f t="shared" si="5"/>
        <v>702.3</v>
      </c>
      <c r="W17" s="154">
        <f>V17*0.302</f>
        <v>212.1</v>
      </c>
      <c r="X17" s="54">
        <v>1</v>
      </c>
      <c r="Y17" s="24">
        <v>30</v>
      </c>
      <c r="Z17" s="48">
        <f>X17*Y17</f>
        <v>30</v>
      </c>
      <c r="AA17" s="54"/>
      <c r="AB17" s="24">
        <v>15</v>
      </c>
      <c r="AC17" s="48">
        <f>AA17*AB17</f>
        <v>0</v>
      </c>
      <c r="AD17" s="54"/>
      <c r="AE17" s="24">
        <v>30</v>
      </c>
      <c r="AF17" s="48">
        <f>AD17*AE17</f>
        <v>0</v>
      </c>
      <c r="AG17" s="278">
        <f t="shared" si="0"/>
        <v>9</v>
      </c>
      <c r="AH17" s="48">
        <f t="shared" si="1"/>
        <v>39</v>
      </c>
      <c r="AI17" s="34">
        <f t="shared" si="2"/>
        <v>58525</v>
      </c>
      <c r="AJ17" s="34"/>
      <c r="AK17" s="216">
        <f t="shared" si="3"/>
        <v>702.3</v>
      </c>
      <c r="AL17" s="216">
        <f t="shared" si="6"/>
        <v>245.3</v>
      </c>
      <c r="AM17" s="217">
        <f>AL17/AK17</f>
        <v>0.34899999999999998</v>
      </c>
      <c r="AN17" s="50"/>
      <c r="AO17" s="50"/>
      <c r="AP17" s="50"/>
      <c r="AQ17" s="50">
        <f t="shared" si="7"/>
        <v>0</v>
      </c>
      <c r="AS17" s="66"/>
    </row>
    <row r="18" spans="1:45" x14ac:dyDescent="0.25">
      <c r="A18" s="278">
        <v>11</v>
      </c>
      <c r="B18" s="218" t="s">
        <v>105</v>
      </c>
      <c r="C18" s="278">
        <v>2</v>
      </c>
      <c r="D18" s="177">
        <v>8.4730000000000008</v>
      </c>
      <c r="E18" s="171">
        <f t="shared" si="8"/>
        <v>16.95</v>
      </c>
      <c r="F18" s="154">
        <f t="shared" si="9"/>
        <v>203.4</v>
      </c>
      <c r="G18" s="154"/>
      <c r="H18" s="154">
        <v>2.1</v>
      </c>
      <c r="I18" s="154"/>
      <c r="J18" s="154"/>
      <c r="K18" s="154">
        <f>D18*0.35*12+D18*0.3*12+D18*9.5*0.05</f>
        <v>70.099999999999994</v>
      </c>
      <c r="L18" s="154">
        <f t="shared" si="4"/>
        <v>68.8</v>
      </c>
      <c r="M18" s="154">
        <f t="shared" si="10"/>
        <v>344.4</v>
      </c>
      <c r="N18" s="171">
        <v>0.41</v>
      </c>
      <c r="O18" s="154">
        <f t="shared" si="11"/>
        <v>141.19999999999999</v>
      </c>
      <c r="P18" s="154">
        <f t="shared" si="12"/>
        <v>485.6</v>
      </c>
      <c r="Q18" s="154">
        <f t="shared" si="13"/>
        <v>388.5</v>
      </c>
      <c r="R18" s="154">
        <f t="shared" si="14"/>
        <v>388.5</v>
      </c>
      <c r="S18" s="154">
        <f t="shared" si="15"/>
        <v>40.4</v>
      </c>
      <c r="T18" s="154">
        <f t="shared" si="16"/>
        <v>1303</v>
      </c>
      <c r="U18" s="487"/>
      <c r="V18" s="154">
        <f t="shared" si="5"/>
        <v>1303</v>
      </c>
      <c r="W18" s="154">
        <f>V18*0.302</f>
        <v>393.5</v>
      </c>
      <c r="X18" s="54"/>
      <c r="Y18" s="24">
        <v>30</v>
      </c>
      <c r="Z18" s="48">
        <f t="shared" si="17"/>
        <v>0</v>
      </c>
      <c r="AA18" s="54"/>
      <c r="AB18" s="24">
        <v>15</v>
      </c>
      <c r="AC18" s="48">
        <f t="shared" si="18"/>
        <v>0</v>
      </c>
      <c r="AD18" s="54"/>
      <c r="AE18" s="24">
        <v>30</v>
      </c>
      <c r="AF18" s="48">
        <f t="shared" si="19"/>
        <v>0</v>
      </c>
      <c r="AG18" s="278">
        <f t="shared" si="0"/>
        <v>0</v>
      </c>
      <c r="AH18" s="48">
        <f t="shared" si="1"/>
        <v>0</v>
      </c>
      <c r="AI18" s="34">
        <f t="shared" si="2"/>
        <v>54291.7</v>
      </c>
      <c r="AJ18" s="34"/>
      <c r="AK18" s="216">
        <f t="shared" si="3"/>
        <v>651.5</v>
      </c>
      <c r="AL18" s="216">
        <f t="shared" si="6"/>
        <v>236.1</v>
      </c>
      <c r="AM18" s="217">
        <v>0.30199999999999999</v>
      </c>
      <c r="AQ18" s="50">
        <f t="shared" si="7"/>
        <v>0</v>
      </c>
      <c r="AS18" s="66"/>
    </row>
    <row r="19" spans="1:45" x14ac:dyDescent="0.25">
      <c r="A19" s="278">
        <v>12</v>
      </c>
      <c r="B19" s="218" t="s">
        <v>47</v>
      </c>
      <c r="C19" s="219">
        <v>1</v>
      </c>
      <c r="D19" s="177">
        <v>6.2859999999999996</v>
      </c>
      <c r="E19" s="171">
        <f t="shared" si="8"/>
        <v>6.29</v>
      </c>
      <c r="F19" s="154">
        <f t="shared" si="9"/>
        <v>75.5</v>
      </c>
      <c r="G19" s="154"/>
      <c r="H19" s="154">
        <v>2.8</v>
      </c>
      <c r="I19" s="154"/>
      <c r="J19" s="154"/>
      <c r="K19" s="154">
        <f>F19*0.2+D19*0.05*9.5</f>
        <v>18.100000000000001</v>
      </c>
      <c r="L19" s="154">
        <f t="shared" si="4"/>
        <v>25.5</v>
      </c>
      <c r="M19" s="154">
        <f t="shared" si="10"/>
        <v>121.9</v>
      </c>
      <c r="N19" s="171">
        <v>0.45</v>
      </c>
      <c r="O19" s="154">
        <f t="shared" si="11"/>
        <v>54.9</v>
      </c>
      <c r="P19" s="154">
        <f t="shared" si="12"/>
        <v>176.8</v>
      </c>
      <c r="Q19" s="154">
        <f t="shared" si="13"/>
        <v>141.4</v>
      </c>
      <c r="R19" s="154">
        <f t="shared" si="14"/>
        <v>141.4</v>
      </c>
      <c r="S19" s="154">
        <f t="shared" si="15"/>
        <v>14.7</v>
      </c>
      <c r="T19" s="154">
        <f t="shared" si="16"/>
        <v>474.3</v>
      </c>
      <c r="U19" s="487"/>
      <c r="V19" s="154">
        <f t="shared" si="5"/>
        <v>474.3</v>
      </c>
      <c r="W19" s="154">
        <f>V19*0.302</f>
        <v>143.19999999999999</v>
      </c>
      <c r="X19" s="54">
        <v>1</v>
      </c>
      <c r="Y19" s="24">
        <v>30</v>
      </c>
      <c r="Z19" s="48">
        <f t="shared" si="17"/>
        <v>30</v>
      </c>
      <c r="AA19" s="54"/>
      <c r="AB19" s="24">
        <v>15</v>
      </c>
      <c r="AC19" s="48">
        <f t="shared" si="18"/>
        <v>0</v>
      </c>
      <c r="AD19" s="54">
        <v>1</v>
      </c>
      <c r="AE19" s="24">
        <v>30</v>
      </c>
      <c r="AF19" s="48">
        <f t="shared" si="19"/>
        <v>30</v>
      </c>
      <c r="AG19" s="278">
        <f t="shared" si="0"/>
        <v>18</v>
      </c>
      <c r="AH19" s="48">
        <f t="shared" si="1"/>
        <v>78</v>
      </c>
      <c r="AI19" s="34">
        <f t="shared" si="2"/>
        <v>39525</v>
      </c>
      <c r="AJ19" s="34"/>
      <c r="AK19" s="216">
        <f t="shared" si="3"/>
        <v>474.3</v>
      </c>
      <c r="AL19" s="216">
        <f t="shared" si="6"/>
        <v>203.8</v>
      </c>
      <c r="AM19" s="217">
        <v>0.30199999999999999</v>
      </c>
      <c r="AQ19" s="50">
        <f t="shared" si="7"/>
        <v>0</v>
      </c>
      <c r="AS19" s="66"/>
    </row>
    <row r="20" spans="1:45" s="33" customFormat="1" x14ac:dyDescent="0.25">
      <c r="A20" s="278">
        <v>13</v>
      </c>
      <c r="B20" s="218" t="s">
        <v>48</v>
      </c>
      <c r="C20" s="278">
        <v>1</v>
      </c>
      <c r="D20" s="177">
        <v>11.061999999999999</v>
      </c>
      <c r="E20" s="171">
        <f>C20*D20</f>
        <v>11.06</v>
      </c>
      <c r="F20" s="154">
        <f>E20*12</f>
        <v>132.69999999999999</v>
      </c>
      <c r="G20" s="154"/>
      <c r="H20" s="154">
        <v>1.8</v>
      </c>
      <c r="I20" s="154"/>
      <c r="J20" s="154"/>
      <c r="K20" s="154">
        <f>F20*0.35</f>
        <v>46.4</v>
      </c>
      <c r="L20" s="154">
        <f t="shared" si="4"/>
        <v>44.9</v>
      </c>
      <c r="M20" s="154">
        <f>F20+G20+H20+I20+J20+K20+L20</f>
        <v>225.8</v>
      </c>
      <c r="N20" s="171">
        <v>0.47</v>
      </c>
      <c r="O20" s="154">
        <f>M20*N20</f>
        <v>106.1</v>
      </c>
      <c r="P20" s="154">
        <f>M20+O20</f>
        <v>331.9</v>
      </c>
      <c r="Q20" s="154">
        <f>P20*0.8</f>
        <v>265.5</v>
      </c>
      <c r="R20" s="154">
        <f>P20*0.8</f>
        <v>265.5</v>
      </c>
      <c r="S20" s="154">
        <f>(P20+Q20+R20)*0.032</f>
        <v>27.6</v>
      </c>
      <c r="T20" s="154">
        <f>P20+Q20+R20+S20</f>
        <v>890.5</v>
      </c>
      <c r="U20" s="487"/>
      <c r="V20" s="154">
        <f t="shared" si="5"/>
        <v>890.5</v>
      </c>
      <c r="W20" s="154">
        <f>AQ20</f>
        <v>268.2</v>
      </c>
      <c r="X20" s="54">
        <v>1</v>
      </c>
      <c r="Y20" s="24">
        <v>30</v>
      </c>
      <c r="Z20" s="48">
        <f>X20*Y20</f>
        <v>30</v>
      </c>
      <c r="AA20" s="54"/>
      <c r="AB20" s="24">
        <v>15</v>
      </c>
      <c r="AC20" s="48">
        <f>AA20*AB20</f>
        <v>0</v>
      </c>
      <c r="AD20" s="54"/>
      <c r="AE20" s="24">
        <v>30</v>
      </c>
      <c r="AF20" s="48">
        <f>AD20*AE20</f>
        <v>0</v>
      </c>
      <c r="AG20" s="278">
        <f t="shared" si="0"/>
        <v>9</v>
      </c>
      <c r="AH20" s="48">
        <f t="shared" si="1"/>
        <v>39</v>
      </c>
      <c r="AI20" s="34">
        <f t="shared" si="2"/>
        <v>74208.3</v>
      </c>
      <c r="AJ20" s="220"/>
      <c r="AK20" s="216">
        <f t="shared" si="3"/>
        <v>890.5</v>
      </c>
      <c r="AL20" s="216">
        <f t="shared" si="6"/>
        <v>279.60000000000002</v>
      </c>
      <c r="AM20" s="217">
        <f>AL20/AK20</f>
        <v>0.314</v>
      </c>
      <c r="AN20" s="50">
        <f>AK20*0.22</f>
        <v>195.9</v>
      </c>
      <c r="AO20" s="50">
        <f>865*0.029</f>
        <v>25.1</v>
      </c>
      <c r="AP20" s="50">
        <f>AK20*0.053</f>
        <v>47.2</v>
      </c>
      <c r="AQ20" s="50">
        <f t="shared" si="7"/>
        <v>268.2</v>
      </c>
      <c r="AS20" s="66"/>
    </row>
    <row r="21" spans="1:45" s="33" customFormat="1" x14ac:dyDescent="0.25">
      <c r="A21" s="278">
        <v>14</v>
      </c>
      <c r="B21" s="218" t="s">
        <v>31</v>
      </c>
      <c r="C21" s="278">
        <v>5</v>
      </c>
      <c r="D21" s="177">
        <v>11.061999999999999</v>
      </c>
      <c r="E21" s="171">
        <f>C21*D21</f>
        <v>55.31</v>
      </c>
      <c r="F21" s="154">
        <f>E21*12</f>
        <v>663.7</v>
      </c>
      <c r="G21" s="154"/>
      <c r="H21" s="154">
        <f>40.443+1.617+1.078</f>
        <v>43.1</v>
      </c>
      <c r="I21" s="154"/>
      <c r="J21" s="154"/>
      <c r="K21" s="154">
        <f>D21*0.4*4*12+D21*0.35*12+D21*0.05*3</f>
        <v>260.5</v>
      </c>
      <c r="L21" s="154">
        <f t="shared" si="4"/>
        <v>224.6</v>
      </c>
      <c r="M21" s="154">
        <f>F21+G21+H21+I21+J21+K21+L21</f>
        <v>1191.9000000000001</v>
      </c>
      <c r="N21" s="171">
        <v>0.47</v>
      </c>
      <c r="O21" s="154">
        <f>M21*N21</f>
        <v>560.20000000000005</v>
      </c>
      <c r="P21" s="154">
        <f>M21+O21</f>
        <v>1752.1</v>
      </c>
      <c r="Q21" s="154">
        <f>P21*0.8</f>
        <v>1401.7</v>
      </c>
      <c r="R21" s="154">
        <f>P21*0.8</f>
        <v>1401.7</v>
      </c>
      <c r="S21" s="154">
        <f>(P21+Q21+R21)*0.032</f>
        <v>145.80000000000001</v>
      </c>
      <c r="T21" s="154">
        <f>P21+Q21+R21+S21</f>
        <v>4701.3</v>
      </c>
      <c r="U21" s="487"/>
      <c r="V21" s="154">
        <f t="shared" si="5"/>
        <v>4701.3</v>
      </c>
      <c r="W21" s="154">
        <f>AQ21*C21</f>
        <v>1409</v>
      </c>
      <c r="X21" s="54">
        <v>4</v>
      </c>
      <c r="Y21" s="24">
        <v>30</v>
      </c>
      <c r="Z21" s="48">
        <f>X21*Y21</f>
        <v>120</v>
      </c>
      <c r="AA21" s="54">
        <v>2</v>
      </c>
      <c r="AB21" s="24">
        <v>15</v>
      </c>
      <c r="AC21" s="48">
        <f>AA21*AB21</f>
        <v>30</v>
      </c>
      <c r="AD21" s="54">
        <v>1</v>
      </c>
      <c r="AE21" s="24">
        <v>30</v>
      </c>
      <c r="AF21" s="48">
        <f>AD21*AE21</f>
        <v>30</v>
      </c>
      <c r="AG21" s="278">
        <f t="shared" si="0"/>
        <v>54</v>
      </c>
      <c r="AH21" s="48">
        <f t="shared" si="1"/>
        <v>234</v>
      </c>
      <c r="AI21" s="34">
        <f t="shared" si="2"/>
        <v>78355</v>
      </c>
      <c r="AJ21" s="220"/>
      <c r="AK21" s="216">
        <f t="shared" si="3"/>
        <v>940.3</v>
      </c>
      <c r="AL21" s="216">
        <f t="shared" si="6"/>
        <v>288.60000000000002</v>
      </c>
      <c r="AM21" s="217">
        <v>0.30199999999999999</v>
      </c>
      <c r="AN21" s="211">
        <f>AK21*0.22</f>
        <v>206.86600000000001</v>
      </c>
      <c r="AO21" s="50">
        <f>865*0.029</f>
        <v>25.1</v>
      </c>
      <c r="AP21" s="50">
        <f>AK21*0.053</f>
        <v>49.8</v>
      </c>
      <c r="AQ21" s="50">
        <f>SUM(AN21:AP21)</f>
        <v>281.8</v>
      </c>
      <c r="AS21" s="66"/>
    </row>
    <row r="22" spans="1:45" s="33" customFormat="1" ht="26.4" x14ac:dyDescent="0.25">
      <c r="A22" s="278">
        <v>15</v>
      </c>
      <c r="B22" s="218" t="s">
        <v>110</v>
      </c>
      <c r="C22" s="278">
        <v>1</v>
      </c>
      <c r="D22" s="177">
        <v>6.2859999999999996</v>
      </c>
      <c r="E22" s="171">
        <f>C22*D22</f>
        <v>6.29</v>
      </c>
      <c r="F22" s="154">
        <f>E22*12</f>
        <v>75.5</v>
      </c>
      <c r="G22" s="154"/>
      <c r="H22" s="154"/>
      <c r="I22" s="154"/>
      <c r="J22" s="154"/>
      <c r="K22" s="154">
        <f>F22*0.2</f>
        <v>15.1</v>
      </c>
      <c r="L22" s="154">
        <f t="shared" si="4"/>
        <v>25.5</v>
      </c>
      <c r="M22" s="154">
        <f>F22+G22+H22+I22+J22+K22+L22</f>
        <v>116.1</v>
      </c>
      <c r="N22" s="171">
        <v>0.45</v>
      </c>
      <c r="O22" s="154">
        <f>M22*N22</f>
        <v>52.2</v>
      </c>
      <c r="P22" s="154">
        <f>M22+O22</f>
        <v>168.3</v>
      </c>
      <c r="Q22" s="154">
        <f>P22*0.8</f>
        <v>134.6</v>
      </c>
      <c r="R22" s="154">
        <f>P22*0.8</f>
        <v>134.6</v>
      </c>
      <c r="S22" s="154">
        <f>(P22+Q22+R22)*0.032</f>
        <v>14</v>
      </c>
      <c r="T22" s="154">
        <f>P22+Q22+R22+S22</f>
        <v>451.5</v>
      </c>
      <c r="U22" s="487"/>
      <c r="V22" s="154">
        <f t="shared" si="5"/>
        <v>451.5</v>
      </c>
      <c r="W22" s="154">
        <f t="shared" ref="W22:W51" si="20">V22*0.302</f>
        <v>136.4</v>
      </c>
      <c r="X22" s="54">
        <v>1</v>
      </c>
      <c r="Y22" s="24">
        <v>30</v>
      </c>
      <c r="Z22" s="48">
        <f>X22*Y22</f>
        <v>30</v>
      </c>
      <c r="AA22" s="54"/>
      <c r="AB22" s="24">
        <v>15</v>
      </c>
      <c r="AC22" s="48">
        <f>AA22*AB22</f>
        <v>0</v>
      </c>
      <c r="AD22" s="54"/>
      <c r="AE22" s="24">
        <v>30</v>
      </c>
      <c r="AF22" s="48">
        <f>AD22*AE22</f>
        <v>0</v>
      </c>
      <c r="AG22" s="278">
        <f t="shared" si="0"/>
        <v>9</v>
      </c>
      <c r="AH22" s="48">
        <f t="shared" si="1"/>
        <v>39</v>
      </c>
      <c r="AI22" s="34">
        <f t="shared" si="2"/>
        <v>37625</v>
      </c>
      <c r="AJ22" s="220"/>
      <c r="AK22" s="216">
        <f t="shared" si="3"/>
        <v>451.5</v>
      </c>
      <c r="AL22" s="216">
        <f t="shared" si="6"/>
        <v>199.7</v>
      </c>
      <c r="AM22" s="217">
        <v>0.30199999999999999</v>
      </c>
      <c r="AN22" s="211"/>
      <c r="AO22" s="211"/>
      <c r="AP22" s="211"/>
      <c r="AQ22" s="50">
        <f t="shared" si="7"/>
        <v>0</v>
      </c>
      <c r="AS22" s="66"/>
    </row>
    <row r="23" spans="1:45" x14ac:dyDescent="0.25">
      <c r="A23" s="278">
        <v>16</v>
      </c>
      <c r="B23" s="218" t="s">
        <v>49</v>
      </c>
      <c r="C23" s="54">
        <v>1</v>
      </c>
      <c r="D23" s="177">
        <v>8.4730000000000008</v>
      </c>
      <c r="E23" s="171">
        <f>C23*D23</f>
        <v>8.4700000000000006</v>
      </c>
      <c r="F23" s="154">
        <f t="shared" ref="F23:F41" si="21">E23*12</f>
        <v>101.6</v>
      </c>
      <c r="G23" s="154"/>
      <c r="H23" s="154">
        <v>3.7</v>
      </c>
      <c r="I23" s="154"/>
      <c r="J23" s="154">
        <f>F23*0.1</f>
        <v>10.199999999999999</v>
      </c>
      <c r="K23" s="154">
        <f>F23*0.3</f>
        <v>30.5</v>
      </c>
      <c r="L23" s="154">
        <f t="shared" si="4"/>
        <v>34.4</v>
      </c>
      <c r="M23" s="154">
        <f t="shared" ref="M23:M41" si="22">F23+G23+H23+I23+J23+K23+L23</f>
        <v>180.4</v>
      </c>
      <c r="N23" s="171">
        <v>0.41</v>
      </c>
      <c r="O23" s="154">
        <f t="shared" ref="O23:O41" si="23">M23*N23</f>
        <v>74</v>
      </c>
      <c r="P23" s="154">
        <f t="shared" ref="P23:P41" si="24">M23+O23</f>
        <v>254.4</v>
      </c>
      <c r="Q23" s="154">
        <f t="shared" ref="Q23:Q41" si="25">P23*0.8</f>
        <v>203.5</v>
      </c>
      <c r="R23" s="154">
        <f t="shared" ref="R23:R41" si="26">P23*0.8</f>
        <v>203.5</v>
      </c>
      <c r="S23" s="154">
        <f t="shared" ref="S23:S41" si="27">(P23+Q23+R23)*0.032</f>
        <v>21.2</v>
      </c>
      <c r="T23" s="154">
        <f t="shared" ref="T23:T41" si="28">P23+Q23+R23+S23</f>
        <v>682.6</v>
      </c>
      <c r="U23" s="487"/>
      <c r="V23" s="154">
        <f t="shared" si="5"/>
        <v>682.6</v>
      </c>
      <c r="W23" s="154">
        <f t="shared" si="20"/>
        <v>206.1</v>
      </c>
      <c r="X23" s="278">
        <v>1</v>
      </c>
      <c r="Y23" s="24">
        <v>30</v>
      </c>
      <c r="Z23" s="48">
        <f>X23*Y23</f>
        <v>30</v>
      </c>
      <c r="AA23" s="54">
        <v>1</v>
      </c>
      <c r="AB23" s="24">
        <v>15</v>
      </c>
      <c r="AC23" s="48">
        <f>AA23*AB23</f>
        <v>15</v>
      </c>
      <c r="AD23" s="54"/>
      <c r="AE23" s="24">
        <v>30</v>
      </c>
      <c r="AF23" s="48">
        <f>AD23*AE23</f>
        <v>0</v>
      </c>
      <c r="AG23" s="278">
        <f t="shared" si="0"/>
        <v>13.5</v>
      </c>
      <c r="AH23" s="48">
        <f t="shared" si="1"/>
        <v>58.5</v>
      </c>
      <c r="AI23" s="34">
        <f t="shared" si="2"/>
        <v>56883.3</v>
      </c>
      <c r="AJ23" s="34"/>
      <c r="AK23" s="216">
        <f t="shared" si="3"/>
        <v>682.6</v>
      </c>
      <c r="AL23" s="216">
        <f t="shared" si="6"/>
        <v>241.7</v>
      </c>
      <c r="AM23" s="217">
        <v>0.30199999999999999</v>
      </c>
      <c r="AQ23" s="50">
        <f t="shared" si="7"/>
        <v>0</v>
      </c>
      <c r="AS23" s="66"/>
    </row>
    <row r="24" spans="1:45" x14ac:dyDescent="0.25">
      <c r="A24" s="278">
        <v>17</v>
      </c>
      <c r="B24" s="218" t="s">
        <v>50</v>
      </c>
      <c r="C24" s="54">
        <v>1</v>
      </c>
      <c r="D24" s="177">
        <v>8.4730000000000008</v>
      </c>
      <c r="E24" s="171">
        <f>C24*D24</f>
        <v>8.4700000000000006</v>
      </c>
      <c r="F24" s="154">
        <f t="shared" si="21"/>
        <v>101.6</v>
      </c>
      <c r="G24" s="154"/>
      <c r="H24" s="154">
        <v>0.4</v>
      </c>
      <c r="I24" s="154"/>
      <c r="J24" s="154">
        <f>F24*0.1</f>
        <v>10.199999999999999</v>
      </c>
      <c r="K24" s="154">
        <f>F24*0.4</f>
        <v>40.6</v>
      </c>
      <c r="L24" s="154">
        <f t="shared" si="4"/>
        <v>34.4</v>
      </c>
      <c r="M24" s="154">
        <f t="shared" si="22"/>
        <v>187.2</v>
      </c>
      <c r="N24" s="171">
        <v>0.41</v>
      </c>
      <c r="O24" s="154">
        <f t="shared" si="23"/>
        <v>76.8</v>
      </c>
      <c r="P24" s="154">
        <f t="shared" si="24"/>
        <v>264</v>
      </c>
      <c r="Q24" s="154">
        <f t="shared" si="25"/>
        <v>211.2</v>
      </c>
      <c r="R24" s="154">
        <f t="shared" si="26"/>
        <v>211.2</v>
      </c>
      <c r="S24" s="154">
        <f t="shared" si="27"/>
        <v>22</v>
      </c>
      <c r="T24" s="154">
        <f t="shared" si="28"/>
        <v>708.4</v>
      </c>
      <c r="U24" s="487"/>
      <c r="V24" s="154">
        <f t="shared" si="5"/>
        <v>708.4</v>
      </c>
      <c r="W24" s="154">
        <f t="shared" si="20"/>
        <v>213.9</v>
      </c>
      <c r="X24" s="278"/>
      <c r="Y24" s="24">
        <v>30</v>
      </c>
      <c r="Z24" s="48">
        <f>X24*Y24</f>
        <v>0</v>
      </c>
      <c r="AA24" s="54"/>
      <c r="AB24" s="24">
        <v>15</v>
      </c>
      <c r="AC24" s="48">
        <f>AA24*AB24</f>
        <v>0</v>
      </c>
      <c r="AD24" s="54"/>
      <c r="AE24" s="24">
        <v>30</v>
      </c>
      <c r="AF24" s="48">
        <f>AD24*AE24</f>
        <v>0</v>
      </c>
      <c r="AG24" s="278">
        <f t="shared" si="0"/>
        <v>0</v>
      </c>
      <c r="AH24" s="48">
        <f t="shared" si="1"/>
        <v>0</v>
      </c>
      <c r="AI24" s="34">
        <f t="shared" si="2"/>
        <v>59033.3</v>
      </c>
      <c r="AJ24" s="34"/>
      <c r="AK24" s="216">
        <f t="shared" si="3"/>
        <v>708.4</v>
      </c>
      <c r="AL24" s="216">
        <f t="shared" si="6"/>
        <v>246.4</v>
      </c>
      <c r="AM24" s="217">
        <v>0.30199999999999999</v>
      </c>
      <c r="AQ24" s="50">
        <f t="shared" si="7"/>
        <v>0</v>
      </c>
      <c r="AS24" s="66"/>
    </row>
    <row r="25" spans="1:45" ht="26.4" x14ac:dyDescent="0.25">
      <c r="A25" s="278">
        <v>18</v>
      </c>
      <c r="B25" s="218" t="s">
        <v>51</v>
      </c>
      <c r="C25" s="54">
        <v>1</v>
      </c>
      <c r="D25" s="177">
        <v>8.4730000000000008</v>
      </c>
      <c r="E25" s="171">
        <f t="shared" ref="E25:E40" si="29">C25*D25</f>
        <v>8.4700000000000006</v>
      </c>
      <c r="F25" s="154">
        <f t="shared" si="21"/>
        <v>101.6</v>
      </c>
      <c r="G25" s="154"/>
      <c r="H25" s="154">
        <v>2.1</v>
      </c>
      <c r="I25" s="154"/>
      <c r="J25" s="154">
        <f>F25*0.1</f>
        <v>10.199999999999999</v>
      </c>
      <c r="K25" s="154">
        <f>F25*0.4</f>
        <v>40.6</v>
      </c>
      <c r="L25" s="154">
        <f t="shared" si="4"/>
        <v>34.4</v>
      </c>
      <c r="M25" s="154">
        <f t="shared" si="22"/>
        <v>188.9</v>
      </c>
      <c r="N25" s="171">
        <v>0.41</v>
      </c>
      <c r="O25" s="154">
        <f t="shared" si="23"/>
        <v>77.400000000000006</v>
      </c>
      <c r="P25" s="154">
        <f t="shared" si="24"/>
        <v>266.3</v>
      </c>
      <c r="Q25" s="154">
        <f t="shared" si="25"/>
        <v>213</v>
      </c>
      <c r="R25" s="154">
        <f t="shared" si="26"/>
        <v>213</v>
      </c>
      <c r="S25" s="154">
        <f t="shared" si="27"/>
        <v>22.2</v>
      </c>
      <c r="T25" s="154">
        <f t="shared" si="28"/>
        <v>714.5</v>
      </c>
      <c r="U25" s="487"/>
      <c r="V25" s="154">
        <f t="shared" si="5"/>
        <v>714.5</v>
      </c>
      <c r="W25" s="154">
        <f t="shared" si="20"/>
        <v>215.8</v>
      </c>
      <c r="X25" s="278">
        <v>1</v>
      </c>
      <c r="Y25" s="24">
        <v>30</v>
      </c>
      <c r="Z25" s="48">
        <f t="shared" ref="Z25:Z38" si="30">X25*Y25</f>
        <v>30</v>
      </c>
      <c r="AA25" s="54"/>
      <c r="AB25" s="24">
        <v>15</v>
      </c>
      <c r="AC25" s="48">
        <f t="shared" ref="AC25:AC38" si="31">AA25*AB25</f>
        <v>0</v>
      </c>
      <c r="AD25" s="54"/>
      <c r="AE25" s="24">
        <v>30</v>
      </c>
      <c r="AF25" s="48">
        <f t="shared" ref="AF25:AF41" si="32">AD25*AE25</f>
        <v>0</v>
      </c>
      <c r="AG25" s="278">
        <f t="shared" si="0"/>
        <v>9</v>
      </c>
      <c r="AH25" s="48">
        <f t="shared" si="1"/>
        <v>39</v>
      </c>
      <c r="AI25" s="34">
        <f t="shared" si="2"/>
        <v>59541.7</v>
      </c>
      <c r="AJ25" s="34"/>
      <c r="AK25" s="216">
        <f t="shared" si="3"/>
        <v>714.5</v>
      </c>
      <c r="AL25" s="216">
        <f t="shared" si="6"/>
        <v>247.5</v>
      </c>
      <c r="AM25" s="217">
        <v>0.30199999999999999</v>
      </c>
      <c r="AQ25" s="50">
        <f t="shared" si="7"/>
        <v>0</v>
      </c>
      <c r="AS25" s="66"/>
    </row>
    <row r="26" spans="1:45" x14ac:dyDescent="0.25">
      <c r="A26" s="278">
        <v>19</v>
      </c>
      <c r="B26" s="218" t="s">
        <v>52</v>
      </c>
      <c r="C26" s="54">
        <v>1</v>
      </c>
      <c r="D26" s="177">
        <v>8.4730000000000008</v>
      </c>
      <c r="E26" s="171">
        <f t="shared" si="29"/>
        <v>8.4700000000000006</v>
      </c>
      <c r="F26" s="154">
        <f t="shared" si="21"/>
        <v>101.6</v>
      </c>
      <c r="G26" s="154"/>
      <c r="H26" s="154">
        <v>1.4</v>
      </c>
      <c r="I26" s="154"/>
      <c r="J26" s="154"/>
      <c r="K26" s="154">
        <f>D26*0.25*7.7+D26*0.3*4.3</f>
        <v>27.2</v>
      </c>
      <c r="L26" s="154">
        <f t="shared" si="4"/>
        <v>34.4</v>
      </c>
      <c r="M26" s="154">
        <f t="shared" si="22"/>
        <v>164.6</v>
      </c>
      <c r="N26" s="171">
        <v>0.41</v>
      </c>
      <c r="O26" s="154">
        <f t="shared" si="23"/>
        <v>67.5</v>
      </c>
      <c r="P26" s="154">
        <f t="shared" si="24"/>
        <v>232.1</v>
      </c>
      <c r="Q26" s="154">
        <f t="shared" si="25"/>
        <v>185.7</v>
      </c>
      <c r="R26" s="154">
        <f t="shared" si="26"/>
        <v>185.7</v>
      </c>
      <c r="S26" s="154">
        <f t="shared" si="27"/>
        <v>19.3</v>
      </c>
      <c r="T26" s="154">
        <f t="shared" si="28"/>
        <v>622.79999999999995</v>
      </c>
      <c r="U26" s="487"/>
      <c r="V26" s="154">
        <f t="shared" si="5"/>
        <v>622.79999999999995</v>
      </c>
      <c r="W26" s="154">
        <f t="shared" si="20"/>
        <v>188.1</v>
      </c>
      <c r="X26" s="278">
        <v>1</v>
      </c>
      <c r="Y26" s="24">
        <v>30</v>
      </c>
      <c r="Z26" s="48">
        <f t="shared" si="30"/>
        <v>30</v>
      </c>
      <c r="AA26" s="54"/>
      <c r="AB26" s="24">
        <v>15</v>
      </c>
      <c r="AC26" s="48">
        <f t="shared" si="31"/>
        <v>0</v>
      </c>
      <c r="AD26" s="54"/>
      <c r="AE26" s="24">
        <v>30</v>
      </c>
      <c r="AF26" s="48">
        <f t="shared" si="32"/>
        <v>0</v>
      </c>
      <c r="AG26" s="278">
        <f t="shared" si="0"/>
        <v>9</v>
      </c>
      <c r="AH26" s="48">
        <f t="shared" si="1"/>
        <v>39</v>
      </c>
      <c r="AI26" s="34">
        <f t="shared" si="2"/>
        <v>51900</v>
      </c>
      <c r="AJ26" s="34"/>
      <c r="AK26" s="216">
        <f t="shared" si="3"/>
        <v>622.79999999999995</v>
      </c>
      <c r="AL26" s="216">
        <f t="shared" si="6"/>
        <v>230.8</v>
      </c>
      <c r="AM26" s="217">
        <v>0.30199999999999999</v>
      </c>
      <c r="AQ26" s="50">
        <f t="shared" si="7"/>
        <v>0</v>
      </c>
      <c r="AS26" s="66"/>
    </row>
    <row r="27" spans="1:45" ht="26.25" customHeight="1" x14ac:dyDescent="0.25">
      <c r="A27" s="278">
        <v>20</v>
      </c>
      <c r="B27" s="218" t="s">
        <v>53</v>
      </c>
      <c r="C27" s="49">
        <f>1-0.5</f>
        <v>0.5</v>
      </c>
      <c r="D27" s="177">
        <v>8.4730000000000008</v>
      </c>
      <c r="E27" s="171">
        <f t="shared" si="29"/>
        <v>4.24</v>
      </c>
      <c r="F27" s="154">
        <f t="shared" si="21"/>
        <v>50.9</v>
      </c>
      <c r="G27" s="154"/>
      <c r="H27" s="154"/>
      <c r="I27" s="154"/>
      <c r="J27" s="154"/>
      <c r="K27" s="154"/>
      <c r="L27" s="154">
        <f t="shared" si="4"/>
        <v>17.2</v>
      </c>
      <c r="M27" s="154">
        <f t="shared" si="22"/>
        <v>68.099999999999994</v>
      </c>
      <c r="N27" s="171">
        <v>0.41</v>
      </c>
      <c r="O27" s="154">
        <f t="shared" si="23"/>
        <v>27.9</v>
      </c>
      <c r="P27" s="154">
        <f t="shared" si="24"/>
        <v>96</v>
      </c>
      <c r="Q27" s="154">
        <f t="shared" si="25"/>
        <v>76.8</v>
      </c>
      <c r="R27" s="154">
        <f t="shared" si="26"/>
        <v>76.8</v>
      </c>
      <c r="S27" s="154">
        <f t="shared" si="27"/>
        <v>8</v>
      </c>
      <c r="T27" s="154">
        <f t="shared" si="28"/>
        <v>257.60000000000002</v>
      </c>
      <c r="U27" s="487"/>
      <c r="V27" s="154">
        <f t="shared" si="5"/>
        <v>257.60000000000002</v>
      </c>
      <c r="W27" s="154">
        <f t="shared" si="20"/>
        <v>77.8</v>
      </c>
      <c r="X27" s="278"/>
      <c r="Y27" s="24">
        <v>30</v>
      </c>
      <c r="Z27" s="48">
        <f t="shared" si="30"/>
        <v>0</v>
      </c>
      <c r="AA27" s="54"/>
      <c r="AB27" s="24">
        <v>15</v>
      </c>
      <c r="AC27" s="48">
        <f t="shared" si="31"/>
        <v>0</v>
      </c>
      <c r="AD27" s="54"/>
      <c r="AE27" s="24">
        <v>30</v>
      </c>
      <c r="AF27" s="48">
        <f t="shared" si="32"/>
        <v>0</v>
      </c>
      <c r="AG27" s="278">
        <f t="shared" si="0"/>
        <v>0</v>
      </c>
      <c r="AH27" s="48">
        <f t="shared" si="1"/>
        <v>0</v>
      </c>
      <c r="AI27" s="34">
        <f t="shared" si="2"/>
        <v>42933.3</v>
      </c>
      <c r="AJ27" s="34"/>
      <c r="AK27" s="216">
        <f t="shared" si="3"/>
        <v>515.20000000000005</v>
      </c>
      <c r="AL27" s="216">
        <f t="shared" si="6"/>
        <v>211.2</v>
      </c>
      <c r="AM27" s="217">
        <v>0.30199999999999999</v>
      </c>
      <c r="AQ27" s="50">
        <f t="shared" si="7"/>
        <v>0</v>
      </c>
      <c r="AS27" s="66"/>
    </row>
    <row r="28" spans="1:45" x14ac:dyDescent="0.25">
      <c r="A28" s="278">
        <v>21</v>
      </c>
      <c r="B28" s="218" t="s">
        <v>54</v>
      </c>
      <c r="C28" s="54">
        <v>1</v>
      </c>
      <c r="D28" s="177">
        <v>11.061999999999999</v>
      </c>
      <c r="E28" s="171">
        <f t="shared" si="29"/>
        <v>11.06</v>
      </c>
      <c r="F28" s="154">
        <f t="shared" si="21"/>
        <v>132.69999999999999</v>
      </c>
      <c r="G28" s="154"/>
      <c r="H28" s="154">
        <v>3.2</v>
      </c>
      <c r="I28" s="154"/>
      <c r="J28" s="154">
        <f>F28*0.1</f>
        <v>13.3</v>
      </c>
      <c r="K28" s="154">
        <f>F28*0.3</f>
        <v>39.799999999999997</v>
      </c>
      <c r="L28" s="154">
        <f t="shared" si="4"/>
        <v>44.9</v>
      </c>
      <c r="M28" s="154">
        <f t="shared" si="22"/>
        <v>233.9</v>
      </c>
      <c r="N28" s="171">
        <v>0.43</v>
      </c>
      <c r="O28" s="154">
        <f t="shared" si="23"/>
        <v>100.6</v>
      </c>
      <c r="P28" s="154">
        <f t="shared" si="24"/>
        <v>334.5</v>
      </c>
      <c r="Q28" s="154">
        <f t="shared" si="25"/>
        <v>267.60000000000002</v>
      </c>
      <c r="R28" s="154">
        <f t="shared" si="26"/>
        <v>267.60000000000002</v>
      </c>
      <c r="S28" s="154">
        <f t="shared" si="27"/>
        <v>27.8</v>
      </c>
      <c r="T28" s="154">
        <f t="shared" si="28"/>
        <v>897.5</v>
      </c>
      <c r="U28" s="487"/>
      <c r="V28" s="154">
        <f t="shared" si="5"/>
        <v>897.5</v>
      </c>
      <c r="W28" s="154">
        <f>AQ28</f>
        <v>270.2</v>
      </c>
      <c r="X28" s="278"/>
      <c r="Y28" s="24">
        <v>30</v>
      </c>
      <c r="Z28" s="48">
        <f t="shared" si="30"/>
        <v>0</v>
      </c>
      <c r="AA28" s="54"/>
      <c r="AB28" s="24">
        <v>15</v>
      </c>
      <c r="AC28" s="48">
        <f t="shared" si="31"/>
        <v>0</v>
      </c>
      <c r="AD28" s="54"/>
      <c r="AE28" s="24">
        <v>30</v>
      </c>
      <c r="AF28" s="48">
        <f t="shared" si="32"/>
        <v>0</v>
      </c>
      <c r="AG28" s="278">
        <f t="shared" si="0"/>
        <v>0</v>
      </c>
      <c r="AH28" s="48">
        <f>Z28+AC28+AF28+AG28</f>
        <v>0</v>
      </c>
      <c r="AI28" s="34">
        <f t="shared" si="2"/>
        <v>74791.7</v>
      </c>
      <c r="AJ28" s="34"/>
      <c r="AK28" s="216">
        <f t="shared" si="3"/>
        <v>897.5</v>
      </c>
      <c r="AL28" s="216">
        <f t="shared" si="6"/>
        <v>280.8</v>
      </c>
      <c r="AM28" s="217">
        <v>0.30199999999999999</v>
      </c>
      <c r="AN28" s="221">
        <f>AK28*0.22</f>
        <v>197.5</v>
      </c>
      <c r="AO28" s="50">
        <f>865*0.029</f>
        <v>25.1</v>
      </c>
      <c r="AP28" s="50">
        <f>AK28*0.053</f>
        <v>47.6</v>
      </c>
      <c r="AQ28" s="50">
        <f t="shared" si="7"/>
        <v>270.2</v>
      </c>
      <c r="AS28" s="66"/>
    </row>
    <row r="29" spans="1:45" x14ac:dyDescent="0.25">
      <c r="A29" s="278">
        <v>22</v>
      </c>
      <c r="B29" s="218" t="s">
        <v>40</v>
      </c>
      <c r="C29" s="54">
        <v>2</v>
      </c>
      <c r="D29" s="177">
        <v>11.061999999999999</v>
      </c>
      <c r="E29" s="171">
        <f t="shared" si="29"/>
        <v>22.12</v>
      </c>
      <c r="F29" s="154">
        <f t="shared" si="21"/>
        <v>265.39999999999998</v>
      </c>
      <c r="G29" s="154"/>
      <c r="H29" s="154">
        <v>3.2</v>
      </c>
      <c r="I29" s="154"/>
      <c r="J29" s="154"/>
      <c r="K29" s="154">
        <f>D29*0.4*12+D29*0.35*12</f>
        <v>99.6</v>
      </c>
      <c r="L29" s="154">
        <f t="shared" si="4"/>
        <v>89.8</v>
      </c>
      <c r="M29" s="154">
        <f t="shared" si="22"/>
        <v>458</v>
      </c>
      <c r="N29" s="171">
        <v>0.43</v>
      </c>
      <c r="O29" s="154">
        <f t="shared" si="23"/>
        <v>196.9</v>
      </c>
      <c r="P29" s="154">
        <f t="shared" si="24"/>
        <v>654.9</v>
      </c>
      <c r="Q29" s="154">
        <f t="shared" si="25"/>
        <v>523.9</v>
      </c>
      <c r="R29" s="154">
        <f t="shared" si="26"/>
        <v>523.9</v>
      </c>
      <c r="S29" s="154">
        <f t="shared" si="27"/>
        <v>54.5</v>
      </c>
      <c r="T29" s="154">
        <f t="shared" si="28"/>
        <v>1757.2</v>
      </c>
      <c r="U29" s="487"/>
      <c r="V29" s="154">
        <f t="shared" si="5"/>
        <v>1757.2</v>
      </c>
      <c r="W29" s="154">
        <f>AQ29*C29</f>
        <v>530</v>
      </c>
      <c r="X29" s="278">
        <v>1</v>
      </c>
      <c r="Y29" s="24">
        <v>30</v>
      </c>
      <c r="Z29" s="48">
        <f t="shared" si="30"/>
        <v>30</v>
      </c>
      <c r="AA29" s="54">
        <v>2</v>
      </c>
      <c r="AB29" s="24">
        <v>15</v>
      </c>
      <c r="AC29" s="48">
        <f t="shared" si="31"/>
        <v>30</v>
      </c>
      <c r="AD29" s="54"/>
      <c r="AE29" s="24">
        <v>30</v>
      </c>
      <c r="AF29" s="48">
        <f t="shared" si="32"/>
        <v>0</v>
      </c>
      <c r="AG29" s="278">
        <f t="shared" si="0"/>
        <v>18</v>
      </c>
      <c r="AH29" s="48">
        <f t="shared" ref="AH29:AH41" si="33">Z29+AC29+AF29+AG29</f>
        <v>78</v>
      </c>
      <c r="AI29" s="34">
        <f t="shared" si="2"/>
        <v>73216.7</v>
      </c>
      <c r="AJ29" s="34"/>
      <c r="AK29" s="216">
        <f t="shared" si="3"/>
        <v>878.6</v>
      </c>
      <c r="AL29" s="216">
        <f t="shared" si="6"/>
        <v>277.39999999999998</v>
      </c>
      <c r="AM29" s="217">
        <v>0.30199999999999999</v>
      </c>
      <c r="AN29" s="221">
        <f>AK29*0.22</f>
        <v>193.3</v>
      </c>
      <c r="AO29" s="50">
        <f>865*0.029</f>
        <v>25.1</v>
      </c>
      <c r="AP29" s="50">
        <f>AK29*0.053</f>
        <v>46.6</v>
      </c>
      <c r="AQ29" s="50">
        <f t="shared" si="7"/>
        <v>265</v>
      </c>
      <c r="AS29" s="66"/>
    </row>
    <row r="30" spans="1:45" x14ac:dyDescent="0.25">
      <c r="A30" s="278">
        <v>23</v>
      </c>
      <c r="B30" s="218" t="s">
        <v>55</v>
      </c>
      <c r="C30" s="54">
        <v>1</v>
      </c>
      <c r="D30" s="213">
        <v>8.4730000000000008</v>
      </c>
      <c r="E30" s="171">
        <f t="shared" si="29"/>
        <v>8.4700000000000006</v>
      </c>
      <c r="F30" s="154">
        <f t="shared" si="21"/>
        <v>101.6</v>
      </c>
      <c r="G30" s="154"/>
      <c r="H30" s="154">
        <v>2.1</v>
      </c>
      <c r="I30" s="154"/>
      <c r="J30" s="154">
        <f>F30*0.1</f>
        <v>10.199999999999999</v>
      </c>
      <c r="K30" s="154">
        <f>D30*0.3*12</f>
        <v>30.5</v>
      </c>
      <c r="L30" s="154">
        <f t="shared" si="4"/>
        <v>34.4</v>
      </c>
      <c r="M30" s="154">
        <f t="shared" si="22"/>
        <v>178.8</v>
      </c>
      <c r="N30" s="171">
        <v>0.41</v>
      </c>
      <c r="O30" s="154">
        <f t="shared" si="23"/>
        <v>73.3</v>
      </c>
      <c r="P30" s="154">
        <f t="shared" si="24"/>
        <v>252.1</v>
      </c>
      <c r="Q30" s="154">
        <f t="shared" si="25"/>
        <v>201.7</v>
      </c>
      <c r="R30" s="154">
        <f t="shared" si="26"/>
        <v>201.7</v>
      </c>
      <c r="S30" s="154">
        <f t="shared" si="27"/>
        <v>21</v>
      </c>
      <c r="T30" s="154">
        <f t="shared" si="28"/>
        <v>676.5</v>
      </c>
      <c r="U30" s="487"/>
      <c r="V30" s="154">
        <f t="shared" si="5"/>
        <v>676.5</v>
      </c>
      <c r="W30" s="154">
        <f t="shared" si="20"/>
        <v>204.3</v>
      </c>
      <c r="X30" s="278">
        <v>1</v>
      </c>
      <c r="Y30" s="24">
        <v>30</v>
      </c>
      <c r="Z30" s="48">
        <f t="shared" si="30"/>
        <v>30</v>
      </c>
      <c r="AA30" s="54">
        <v>1</v>
      </c>
      <c r="AB30" s="24">
        <v>15</v>
      </c>
      <c r="AC30" s="48">
        <f t="shared" si="31"/>
        <v>15</v>
      </c>
      <c r="AD30" s="54">
        <v>1</v>
      </c>
      <c r="AE30" s="24">
        <v>30</v>
      </c>
      <c r="AF30" s="48">
        <f t="shared" si="32"/>
        <v>30</v>
      </c>
      <c r="AG30" s="278">
        <f t="shared" si="0"/>
        <v>22.5</v>
      </c>
      <c r="AH30" s="48">
        <f t="shared" si="33"/>
        <v>97.5</v>
      </c>
      <c r="AI30" s="34">
        <f t="shared" si="2"/>
        <v>56375</v>
      </c>
      <c r="AJ30" s="34"/>
      <c r="AK30" s="216">
        <f t="shared" si="3"/>
        <v>676.5</v>
      </c>
      <c r="AL30" s="216">
        <f t="shared" si="6"/>
        <v>240.6</v>
      </c>
      <c r="AM30" s="217">
        <f>AL30/AK30</f>
        <v>0.35599999999999998</v>
      </c>
      <c r="AN30" s="222"/>
      <c r="AO30" s="50"/>
      <c r="AP30" s="50"/>
      <c r="AQ30" s="50">
        <f t="shared" si="7"/>
        <v>0</v>
      </c>
      <c r="AS30" s="66"/>
    </row>
    <row r="31" spans="1:45" x14ac:dyDescent="0.25">
      <c r="A31" s="278">
        <v>24</v>
      </c>
      <c r="B31" s="218" t="s">
        <v>29</v>
      </c>
      <c r="C31" s="54">
        <v>3</v>
      </c>
      <c r="D31" s="213">
        <v>8.4730000000000008</v>
      </c>
      <c r="E31" s="171">
        <f t="shared" si="29"/>
        <v>25.42</v>
      </c>
      <c r="F31" s="154">
        <f t="shared" si="21"/>
        <v>305</v>
      </c>
      <c r="G31" s="154"/>
      <c r="H31" s="154">
        <v>61.7</v>
      </c>
      <c r="I31" s="154"/>
      <c r="J31" s="154"/>
      <c r="K31" s="154">
        <f>D31*0.3*12+D31*0.05*2</f>
        <v>31.4</v>
      </c>
      <c r="L31" s="154">
        <f t="shared" si="4"/>
        <v>103.2</v>
      </c>
      <c r="M31" s="154">
        <f t="shared" si="22"/>
        <v>501.3</v>
      </c>
      <c r="N31" s="171">
        <v>0.41</v>
      </c>
      <c r="O31" s="154">
        <f t="shared" si="23"/>
        <v>205.5</v>
      </c>
      <c r="P31" s="154">
        <f t="shared" si="24"/>
        <v>706.8</v>
      </c>
      <c r="Q31" s="154">
        <f t="shared" si="25"/>
        <v>565.4</v>
      </c>
      <c r="R31" s="154">
        <f t="shared" si="26"/>
        <v>565.4</v>
      </c>
      <c r="S31" s="154">
        <f t="shared" si="27"/>
        <v>58.8</v>
      </c>
      <c r="T31" s="154">
        <f t="shared" si="28"/>
        <v>1896.4</v>
      </c>
      <c r="U31" s="487"/>
      <c r="V31" s="154">
        <f t="shared" si="5"/>
        <v>1896.4</v>
      </c>
      <c r="W31" s="154">
        <f t="shared" si="20"/>
        <v>572.70000000000005</v>
      </c>
      <c r="X31" s="278">
        <v>1</v>
      </c>
      <c r="Y31" s="24">
        <v>30</v>
      </c>
      <c r="Z31" s="48">
        <f t="shared" si="30"/>
        <v>30</v>
      </c>
      <c r="AA31" s="54">
        <v>3</v>
      </c>
      <c r="AB31" s="24">
        <v>15</v>
      </c>
      <c r="AC31" s="48">
        <f t="shared" si="31"/>
        <v>45</v>
      </c>
      <c r="AD31" s="54"/>
      <c r="AE31" s="24">
        <v>30</v>
      </c>
      <c r="AF31" s="48">
        <f t="shared" si="32"/>
        <v>0</v>
      </c>
      <c r="AG31" s="278">
        <f t="shared" si="0"/>
        <v>22.5</v>
      </c>
      <c r="AH31" s="48">
        <f t="shared" si="33"/>
        <v>97.5</v>
      </c>
      <c r="AI31" s="34">
        <f t="shared" si="2"/>
        <v>52677.8</v>
      </c>
      <c r="AJ31" s="34"/>
      <c r="AK31" s="216">
        <f t="shared" si="3"/>
        <v>632.1</v>
      </c>
      <c r="AL31" s="216">
        <f t="shared" si="6"/>
        <v>232.5</v>
      </c>
      <c r="AM31" s="217">
        <v>0.30199999999999999</v>
      </c>
      <c r="AN31" s="223"/>
      <c r="AO31" s="62"/>
      <c r="AP31" s="62"/>
      <c r="AQ31" s="50">
        <f t="shared" si="7"/>
        <v>0</v>
      </c>
      <c r="AS31" s="66"/>
    </row>
    <row r="32" spans="1:45" ht="13.5" customHeight="1" x14ac:dyDescent="0.25">
      <c r="A32" s="278">
        <v>25</v>
      </c>
      <c r="B32" s="218" t="s">
        <v>42</v>
      </c>
      <c r="C32" s="54">
        <v>1</v>
      </c>
      <c r="D32" s="177">
        <v>11.061999999999999</v>
      </c>
      <c r="E32" s="171">
        <f t="shared" si="29"/>
        <v>11.06</v>
      </c>
      <c r="F32" s="154">
        <f t="shared" si="21"/>
        <v>132.69999999999999</v>
      </c>
      <c r="G32" s="154"/>
      <c r="H32" s="154">
        <v>4.8</v>
      </c>
      <c r="I32" s="154"/>
      <c r="J32" s="154">
        <f>F32*0.1</f>
        <v>13.3</v>
      </c>
      <c r="K32" s="154">
        <f>D32*0.25*12</f>
        <v>33.200000000000003</v>
      </c>
      <c r="L32" s="154">
        <f t="shared" si="4"/>
        <v>44.9</v>
      </c>
      <c r="M32" s="154">
        <f t="shared" si="22"/>
        <v>228.9</v>
      </c>
      <c r="N32" s="171">
        <v>0.43</v>
      </c>
      <c r="O32" s="154">
        <f t="shared" si="23"/>
        <v>98.4</v>
      </c>
      <c r="P32" s="154">
        <f t="shared" si="24"/>
        <v>327.3</v>
      </c>
      <c r="Q32" s="154">
        <f t="shared" si="25"/>
        <v>261.8</v>
      </c>
      <c r="R32" s="154">
        <f t="shared" si="26"/>
        <v>261.8</v>
      </c>
      <c r="S32" s="154">
        <f t="shared" si="27"/>
        <v>27.2</v>
      </c>
      <c r="T32" s="154">
        <f t="shared" si="28"/>
        <v>878.1</v>
      </c>
      <c r="U32" s="487"/>
      <c r="V32" s="154">
        <f t="shared" si="5"/>
        <v>878.1</v>
      </c>
      <c r="W32" s="154">
        <f>AQ32</f>
        <v>264.8</v>
      </c>
      <c r="X32" s="278"/>
      <c r="Y32" s="24">
        <v>30</v>
      </c>
      <c r="Z32" s="48">
        <f t="shared" si="30"/>
        <v>0</v>
      </c>
      <c r="AA32" s="54"/>
      <c r="AB32" s="24">
        <v>15</v>
      </c>
      <c r="AC32" s="48">
        <f t="shared" si="31"/>
        <v>0</v>
      </c>
      <c r="AD32" s="54"/>
      <c r="AE32" s="24">
        <v>30</v>
      </c>
      <c r="AF32" s="48">
        <f t="shared" si="32"/>
        <v>0</v>
      </c>
      <c r="AG32" s="278">
        <f t="shared" si="0"/>
        <v>0</v>
      </c>
      <c r="AH32" s="48">
        <f t="shared" si="33"/>
        <v>0</v>
      </c>
      <c r="AI32" s="34">
        <f t="shared" si="2"/>
        <v>73175</v>
      </c>
      <c r="AJ32" s="34"/>
      <c r="AK32" s="216">
        <f t="shared" si="3"/>
        <v>878.1</v>
      </c>
      <c r="AL32" s="216">
        <f t="shared" si="6"/>
        <v>277.3</v>
      </c>
      <c r="AM32" s="217">
        <v>0.30199999999999999</v>
      </c>
      <c r="AN32" s="221">
        <f>AK32*0.22</f>
        <v>193.2</v>
      </c>
      <c r="AO32" s="50">
        <f>865*0.029</f>
        <v>25.1</v>
      </c>
      <c r="AP32" s="50">
        <f>AK32*0.053</f>
        <v>46.5</v>
      </c>
      <c r="AQ32" s="50">
        <f>SUM(AN32:AP32)</f>
        <v>264.8</v>
      </c>
      <c r="AS32" s="66"/>
    </row>
    <row r="33" spans="1:45" ht="26.4" x14ac:dyDescent="0.25">
      <c r="A33" s="278">
        <v>26</v>
      </c>
      <c r="B33" s="218" t="s">
        <v>108</v>
      </c>
      <c r="C33" s="54">
        <v>4</v>
      </c>
      <c r="D33" s="177">
        <v>8.4730000000000008</v>
      </c>
      <c r="E33" s="171">
        <f t="shared" si="29"/>
        <v>33.89</v>
      </c>
      <c r="F33" s="154">
        <f t="shared" si="21"/>
        <v>406.7</v>
      </c>
      <c r="G33" s="154"/>
      <c r="H33" s="154">
        <v>1.2</v>
      </c>
      <c r="I33" s="154"/>
      <c r="J33" s="154"/>
      <c r="K33" s="154">
        <f>D33*0.4*12+D33*0.35*12</f>
        <v>76.3</v>
      </c>
      <c r="L33" s="154">
        <f t="shared" si="4"/>
        <v>137.6</v>
      </c>
      <c r="M33" s="154">
        <f t="shared" si="22"/>
        <v>621.79999999999995</v>
      </c>
      <c r="N33" s="171">
        <v>0.47</v>
      </c>
      <c r="O33" s="154">
        <f t="shared" si="23"/>
        <v>292.2</v>
      </c>
      <c r="P33" s="154">
        <f t="shared" si="24"/>
        <v>914</v>
      </c>
      <c r="Q33" s="154">
        <f t="shared" si="25"/>
        <v>731.2</v>
      </c>
      <c r="R33" s="154">
        <f t="shared" si="26"/>
        <v>731.2</v>
      </c>
      <c r="S33" s="154">
        <f t="shared" si="27"/>
        <v>76</v>
      </c>
      <c r="T33" s="154">
        <f t="shared" si="28"/>
        <v>2452.4</v>
      </c>
      <c r="U33" s="487"/>
      <c r="V33" s="154">
        <f t="shared" si="5"/>
        <v>2452.4</v>
      </c>
      <c r="W33" s="154">
        <f t="shared" si="20"/>
        <v>740.6</v>
      </c>
      <c r="X33" s="278">
        <v>1</v>
      </c>
      <c r="Y33" s="24">
        <v>30</v>
      </c>
      <c r="Z33" s="48">
        <f t="shared" si="30"/>
        <v>30</v>
      </c>
      <c r="AA33" s="54">
        <v>1</v>
      </c>
      <c r="AB33" s="24">
        <v>15</v>
      </c>
      <c r="AC33" s="48">
        <f t="shared" si="31"/>
        <v>15</v>
      </c>
      <c r="AD33" s="54"/>
      <c r="AE33" s="24">
        <v>30</v>
      </c>
      <c r="AF33" s="48">
        <f t="shared" si="32"/>
        <v>0</v>
      </c>
      <c r="AG33" s="278">
        <f t="shared" si="0"/>
        <v>13.5</v>
      </c>
      <c r="AH33" s="48">
        <f t="shared" si="33"/>
        <v>58.5</v>
      </c>
      <c r="AI33" s="34">
        <f t="shared" si="2"/>
        <v>51091.7</v>
      </c>
      <c r="AJ33" s="34"/>
      <c r="AK33" s="216">
        <f t="shared" si="3"/>
        <v>613.1</v>
      </c>
      <c r="AL33" s="216">
        <f t="shared" si="6"/>
        <v>229.1</v>
      </c>
      <c r="AM33" s="217">
        <v>0.30199999999999999</v>
      </c>
      <c r="AN33" s="223"/>
      <c r="AO33" s="62"/>
      <c r="AP33" s="62"/>
      <c r="AQ33" s="50">
        <f t="shared" si="7"/>
        <v>0</v>
      </c>
      <c r="AS33" s="66"/>
    </row>
    <row r="34" spans="1:45" ht="13.5" customHeight="1" x14ac:dyDescent="0.25">
      <c r="A34" s="278">
        <v>27</v>
      </c>
      <c r="B34" s="218" t="s">
        <v>56</v>
      </c>
      <c r="C34" s="57">
        <v>2</v>
      </c>
      <c r="D34" s="177">
        <v>11.061999999999999</v>
      </c>
      <c r="E34" s="171">
        <f t="shared" si="29"/>
        <v>22.12</v>
      </c>
      <c r="F34" s="154">
        <f t="shared" si="21"/>
        <v>265.39999999999998</v>
      </c>
      <c r="G34" s="154"/>
      <c r="H34" s="154">
        <v>1.1000000000000001</v>
      </c>
      <c r="I34" s="154"/>
      <c r="J34" s="154">
        <f>D34*0.1*2*12</f>
        <v>26.5</v>
      </c>
      <c r="K34" s="154">
        <f>D34*0.4*12+D34*0.25*12</f>
        <v>86.3</v>
      </c>
      <c r="L34" s="154">
        <f t="shared" si="4"/>
        <v>89.8</v>
      </c>
      <c r="M34" s="154">
        <f t="shared" si="22"/>
        <v>469.1</v>
      </c>
      <c r="N34" s="171">
        <v>0.43</v>
      </c>
      <c r="O34" s="154">
        <f t="shared" si="23"/>
        <v>201.7</v>
      </c>
      <c r="P34" s="154">
        <f t="shared" si="24"/>
        <v>670.8</v>
      </c>
      <c r="Q34" s="154">
        <f t="shared" si="25"/>
        <v>536.6</v>
      </c>
      <c r="R34" s="154">
        <f t="shared" si="26"/>
        <v>536.6</v>
      </c>
      <c r="S34" s="154">
        <f t="shared" si="27"/>
        <v>55.8</v>
      </c>
      <c r="T34" s="154">
        <f t="shared" si="28"/>
        <v>1799.8</v>
      </c>
      <c r="U34" s="487"/>
      <c r="V34" s="154">
        <f t="shared" si="5"/>
        <v>1799.8</v>
      </c>
      <c r="W34" s="154">
        <f>AQ34*C34</f>
        <v>541.6</v>
      </c>
      <c r="X34" s="278">
        <v>2</v>
      </c>
      <c r="Y34" s="24">
        <v>30</v>
      </c>
      <c r="Z34" s="48">
        <f t="shared" si="30"/>
        <v>60</v>
      </c>
      <c r="AA34" s="54">
        <v>2</v>
      </c>
      <c r="AB34" s="24">
        <v>15</v>
      </c>
      <c r="AC34" s="48">
        <f t="shared" si="31"/>
        <v>30</v>
      </c>
      <c r="AD34" s="54"/>
      <c r="AE34" s="24">
        <v>30</v>
      </c>
      <c r="AF34" s="48">
        <f t="shared" si="32"/>
        <v>0</v>
      </c>
      <c r="AG34" s="278">
        <f t="shared" si="0"/>
        <v>27</v>
      </c>
      <c r="AH34" s="48">
        <f t="shared" si="33"/>
        <v>117</v>
      </c>
      <c r="AI34" s="34">
        <f t="shared" si="2"/>
        <v>74991.7</v>
      </c>
      <c r="AJ34" s="34"/>
      <c r="AK34" s="216">
        <f t="shared" si="3"/>
        <v>899.9</v>
      </c>
      <c r="AL34" s="216">
        <f t="shared" si="6"/>
        <v>281.3</v>
      </c>
      <c r="AM34" s="217">
        <v>0.30199999999999999</v>
      </c>
      <c r="AN34" s="221">
        <f>AK34*0.22</f>
        <v>198</v>
      </c>
      <c r="AO34" s="50">
        <f>865*0.029</f>
        <v>25.1</v>
      </c>
      <c r="AP34" s="50">
        <f>AK34*0.053</f>
        <v>47.7</v>
      </c>
      <c r="AQ34" s="50">
        <f>SUM(AN34:AP34)</f>
        <v>270.8</v>
      </c>
      <c r="AS34" s="66"/>
    </row>
    <row r="35" spans="1:45" x14ac:dyDescent="0.25">
      <c r="A35" s="278">
        <v>28</v>
      </c>
      <c r="B35" s="218" t="s">
        <v>101</v>
      </c>
      <c r="C35" s="57">
        <v>1</v>
      </c>
      <c r="D35" s="177">
        <v>11.061999999999999</v>
      </c>
      <c r="E35" s="171">
        <f>C35*D35</f>
        <v>11.06</v>
      </c>
      <c r="F35" s="154">
        <f t="shared" si="21"/>
        <v>132.69999999999999</v>
      </c>
      <c r="G35" s="154"/>
      <c r="H35" s="154">
        <v>4.8</v>
      </c>
      <c r="I35" s="154"/>
      <c r="J35" s="154"/>
      <c r="K35" s="154">
        <f>D35*0.25*12</f>
        <v>33.200000000000003</v>
      </c>
      <c r="L35" s="154">
        <f t="shared" si="4"/>
        <v>44.9</v>
      </c>
      <c r="M35" s="154">
        <f t="shared" si="22"/>
        <v>215.6</v>
      </c>
      <c r="N35" s="171">
        <v>0.43</v>
      </c>
      <c r="O35" s="154">
        <f t="shared" si="23"/>
        <v>92.7</v>
      </c>
      <c r="P35" s="154">
        <f t="shared" si="24"/>
        <v>308.3</v>
      </c>
      <c r="Q35" s="154">
        <f t="shared" si="25"/>
        <v>246.6</v>
      </c>
      <c r="R35" s="154">
        <f t="shared" si="26"/>
        <v>246.6</v>
      </c>
      <c r="S35" s="154">
        <f t="shared" si="27"/>
        <v>25.6</v>
      </c>
      <c r="T35" s="154">
        <f t="shared" si="28"/>
        <v>827.1</v>
      </c>
      <c r="U35" s="487"/>
      <c r="V35" s="154">
        <f t="shared" si="5"/>
        <v>827.1</v>
      </c>
      <c r="W35" s="154">
        <f t="shared" si="20"/>
        <v>249.8</v>
      </c>
      <c r="X35" s="278">
        <v>1</v>
      </c>
      <c r="Y35" s="24">
        <v>30</v>
      </c>
      <c r="Z35" s="48">
        <f t="shared" si="30"/>
        <v>30</v>
      </c>
      <c r="AA35" s="54"/>
      <c r="AB35" s="24">
        <v>15</v>
      </c>
      <c r="AC35" s="48">
        <f t="shared" si="31"/>
        <v>0</v>
      </c>
      <c r="AD35" s="54"/>
      <c r="AE35" s="24">
        <v>30</v>
      </c>
      <c r="AF35" s="48">
        <f t="shared" si="32"/>
        <v>0</v>
      </c>
      <c r="AG35" s="278">
        <f t="shared" si="0"/>
        <v>9</v>
      </c>
      <c r="AH35" s="48">
        <f t="shared" si="33"/>
        <v>39</v>
      </c>
      <c r="AI35" s="34">
        <f t="shared" si="2"/>
        <v>68925</v>
      </c>
      <c r="AJ35" s="34"/>
      <c r="AK35" s="216">
        <f t="shared" si="3"/>
        <v>827.1</v>
      </c>
      <c r="AL35" s="216">
        <f t="shared" si="6"/>
        <v>268</v>
      </c>
      <c r="AM35" s="217">
        <v>0.30199999999999999</v>
      </c>
      <c r="AN35" s="62"/>
      <c r="AO35" s="62"/>
      <c r="AP35" s="62"/>
      <c r="AQ35" s="50">
        <f t="shared" si="7"/>
        <v>0</v>
      </c>
      <c r="AS35" s="66"/>
    </row>
    <row r="36" spans="1:45" x14ac:dyDescent="0.25">
      <c r="A36" s="278">
        <v>29</v>
      </c>
      <c r="B36" s="218" t="s">
        <v>33</v>
      </c>
      <c r="C36" s="57">
        <v>1</v>
      </c>
      <c r="D36" s="177">
        <v>8.4730000000000008</v>
      </c>
      <c r="E36" s="171">
        <f>C36*D36</f>
        <v>8.4700000000000006</v>
      </c>
      <c r="F36" s="154">
        <f t="shared" si="21"/>
        <v>101.6</v>
      </c>
      <c r="G36" s="154"/>
      <c r="H36" s="154">
        <v>2.9</v>
      </c>
      <c r="I36" s="154"/>
      <c r="J36" s="154"/>
      <c r="K36" s="154"/>
      <c r="L36" s="154">
        <f t="shared" si="4"/>
        <v>34.4</v>
      </c>
      <c r="M36" s="154">
        <f t="shared" si="22"/>
        <v>138.9</v>
      </c>
      <c r="N36" s="171">
        <v>0.41</v>
      </c>
      <c r="O36" s="154">
        <f t="shared" si="23"/>
        <v>56.9</v>
      </c>
      <c r="P36" s="154">
        <f t="shared" si="24"/>
        <v>195.8</v>
      </c>
      <c r="Q36" s="154">
        <f t="shared" si="25"/>
        <v>156.6</v>
      </c>
      <c r="R36" s="154">
        <f t="shared" si="26"/>
        <v>156.6</v>
      </c>
      <c r="S36" s="154">
        <f t="shared" si="27"/>
        <v>16.3</v>
      </c>
      <c r="T36" s="154">
        <f t="shared" si="28"/>
        <v>525.29999999999995</v>
      </c>
      <c r="U36" s="487"/>
      <c r="V36" s="154">
        <f t="shared" si="5"/>
        <v>525.29999999999995</v>
      </c>
      <c r="W36" s="154">
        <f t="shared" si="20"/>
        <v>158.6</v>
      </c>
      <c r="X36" s="278"/>
      <c r="Y36" s="24">
        <v>30</v>
      </c>
      <c r="Z36" s="48">
        <f t="shared" si="30"/>
        <v>0</v>
      </c>
      <c r="AA36" s="54"/>
      <c r="AB36" s="24">
        <v>15</v>
      </c>
      <c r="AC36" s="48">
        <f t="shared" si="31"/>
        <v>0</v>
      </c>
      <c r="AD36" s="54"/>
      <c r="AE36" s="24">
        <v>30</v>
      </c>
      <c r="AF36" s="48">
        <f t="shared" si="32"/>
        <v>0</v>
      </c>
      <c r="AG36" s="278">
        <f t="shared" si="0"/>
        <v>0</v>
      </c>
      <c r="AH36" s="48">
        <f t="shared" si="33"/>
        <v>0</v>
      </c>
      <c r="AI36" s="34">
        <f t="shared" si="2"/>
        <v>43775</v>
      </c>
      <c r="AJ36" s="34"/>
      <c r="AK36" s="216">
        <f t="shared" si="3"/>
        <v>525.29999999999995</v>
      </c>
      <c r="AL36" s="216">
        <f t="shared" si="6"/>
        <v>213.1</v>
      </c>
      <c r="AM36" s="217">
        <v>0.30199999999999999</v>
      </c>
      <c r="AN36" s="76"/>
      <c r="AO36" s="76"/>
      <c r="AP36" s="76"/>
      <c r="AQ36" s="50">
        <f t="shared" si="7"/>
        <v>0</v>
      </c>
      <c r="AS36" s="66"/>
    </row>
    <row r="37" spans="1:45" ht="26.4" x14ac:dyDescent="0.25">
      <c r="A37" s="278">
        <v>30</v>
      </c>
      <c r="B37" s="218" t="s">
        <v>130</v>
      </c>
      <c r="C37" s="57">
        <v>1</v>
      </c>
      <c r="D37" s="177">
        <v>8.4730000000000008</v>
      </c>
      <c r="E37" s="171">
        <f>C37*D37</f>
        <v>8.4700000000000006</v>
      </c>
      <c r="F37" s="154">
        <f>E37*12</f>
        <v>101.6</v>
      </c>
      <c r="G37" s="154"/>
      <c r="H37" s="154"/>
      <c r="I37" s="154"/>
      <c r="J37" s="154"/>
      <c r="K37" s="154"/>
      <c r="L37" s="154">
        <f t="shared" si="4"/>
        <v>34.4</v>
      </c>
      <c r="M37" s="154">
        <f t="shared" si="22"/>
        <v>136</v>
      </c>
      <c r="N37" s="171">
        <v>0.47</v>
      </c>
      <c r="O37" s="154">
        <f t="shared" si="23"/>
        <v>63.9</v>
      </c>
      <c r="P37" s="154">
        <f t="shared" si="24"/>
        <v>199.9</v>
      </c>
      <c r="Q37" s="154">
        <f t="shared" si="25"/>
        <v>159.9</v>
      </c>
      <c r="R37" s="154">
        <f t="shared" si="26"/>
        <v>159.9</v>
      </c>
      <c r="S37" s="154">
        <f t="shared" si="27"/>
        <v>16.600000000000001</v>
      </c>
      <c r="T37" s="154">
        <f t="shared" si="28"/>
        <v>536.29999999999995</v>
      </c>
      <c r="U37" s="487"/>
      <c r="V37" s="154">
        <f t="shared" si="5"/>
        <v>536.29999999999995</v>
      </c>
      <c r="W37" s="154">
        <f t="shared" si="20"/>
        <v>162</v>
      </c>
      <c r="X37" s="278"/>
      <c r="Y37" s="24">
        <v>30</v>
      </c>
      <c r="Z37" s="48">
        <f t="shared" si="30"/>
        <v>0</v>
      </c>
      <c r="AA37" s="54"/>
      <c r="AB37" s="24">
        <v>15</v>
      </c>
      <c r="AC37" s="48">
        <f t="shared" si="31"/>
        <v>0</v>
      </c>
      <c r="AD37" s="54"/>
      <c r="AE37" s="24">
        <v>30</v>
      </c>
      <c r="AF37" s="48">
        <f t="shared" si="32"/>
        <v>0</v>
      </c>
      <c r="AG37" s="278">
        <f t="shared" si="0"/>
        <v>0</v>
      </c>
      <c r="AH37" s="48">
        <f t="shared" si="33"/>
        <v>0</v>
      </c>
      <c r="AI37" s="34">
        <f>V37/11/C37*1000</f>
        <v>48754.5</v>
      </c>
      <c r="AJ37" s="34"/>
      <c r="AK37" s="216">
        <f t="shared" si="3"/>
        <v>536.29999999999995</v>
      </c>
      <c r="AL37" s="216">
        <f t="shared" si="6"/>
        <v>215.1</v>
      </c>
      <c r="AM37" s="217">
        <v>0.30199999999999999</v>
      </c>
      <c r="AN37" s="62"/>
      <c r="AO37" s="62"/>
      <c r="AP37" s="62"/>
      <c r="AQ37" s="50">
        <f t="shared" si="7"/>
        <v>0</v>
      </c>
      <c r="AS37" s="66"/>
    </row>
    <row r="38" spans="1:45" ht="26.4" x14ac:dyDescent="0.25">
      <c r="A38" s="278">
        <v>31</v>
      </c>
      <c r="B38" s="218" t="s">
        <v>109</v>
      </c>
      <c r="C38" s="57">
        <v>1</v>
      </c>
      <c r="D38" s="177">
        <v>4.4569999999999999</v>
      </c>
      <c r="E38" s="171">
        <f t="shared" si="29"/>
        <v>4.46</v>
      </c>
      <c r="F38" s="154">
        <f t="shared" si="21"/>
        <v>53.5</v>
      </c>
      <c r="G38" s="154"/>
      <c r="H38" s="154">
        <v>1.7</v>
      </c>
      <c r="I38" s="154"/>
      <c r="J38" s="154"/>
      <c r="K38" s="154"/>
      <c r="L38" s="154">
        <v>26</v>
      </c>
      <c r="M38" s="154">
        <f t="shared" si="22"/>
        <v>81.2</v>
      </c>
      <c r="N38" s="171">
        <v>0.61</v>
      </c>
      <c r="O38" s="154">
        <f t="shared" si="23"/>
        <v>49.5</v>
      </c>
      <c r="P38" s="154">
        <f t="shared" si="24"/>
        <v>130.69999999999999</v>
      </c>
      <c r="Q38" s="154">
        <f t="shared" si="25"/>
        <v>104.6</v>
      </c>
      <c r="R38" s="154">
        <f t="shared" si="26"/>
        <v>104.6</v>
      </c>
      <c r="S38" s="154">
        <f t="shared" si="27"/>
        <v>10.9</v>
      </c>
      <c r="T38" s="154">
        <f t="shared" si="28"/>
        <v>350.8</v>
      </c>
      <c r="U38" s="487"/>
      <c r="V38" s="154">
        <f t="shared" si="5"/>
        <v>350.8</v>
      </c>
      <c r="W38" s="154">
        <f t="shared" si="20"/>
        <v>105.9</v>
      </c>
      <c r="X38" s="278">
        <v>1</v>
      </c>
      <c r="Y38" s="24">
        <v>30</v>
      </c>
      <c r="Z38" s="48">
        <f t="shared" si="30"/>
        <v>30</v>
      </c>
      <c r="AA38" s="278">
        <v>1</v>
      </c>
      <c r="AB38" s="24">
        <v>15</v>
      </c>
      <c r="AC38" s="48">
        <f t="shared" si="31"/>
        <v>15</v>
      </c>
      <c r="AD38" s="278"/>
      <c r="AE38" s="24">
        <v>30</v>
      </c>
      <c r="AF38" s="48">
        <f t="shared" si="32"/>
        <v>0</v>
      </c>
      <c r="AG38" s="278">
        <f t="shared" si="0"/>
        <v>13.5</v>
      </c>
      <c r="AH38" s="48">
        <f t="shared" si="33"/>
        <v>58.5</v>
      </c>
      <c r="AI38" s="34">
        <f>V38/12/C38*1000</f>
        <v>29233.3</v>
      </c>
      <c r="AJ38" s="34"/>
      <c r="AK38" s="216">
        <f t="shared" si="3"/>
        <v>350.8</v>
      </c>
      <c r="AL38" s="216">
        <f t="shared" si="6"/>
        <v>181.3</v>
      </c>
      <c r="AM38" s="217">
        <v>0.30199999999999999</v>
      </c>
      <c r="AN38" s="76"/>
      <c r="AO38" s="76"/>
      <c r="AP38" s="76"/>
      <c r="AQ38" s="50">
        <f t="shared" si="7"/>
        <v>0</v>
      </c>
      <c r="AS38" s="66"/>
    </row>
    <row r="39" spans="1:45" ht="15.75" customHeight="1" x14ac:dyDescent="0.25">
      <c r="A39" s="278">
        <v>32</v>
      </c>
      <c r="B39" s="218" t="s">
        <v>57</v>
      </c>
      <c r="C39" s="49">
        <f>2-0.5</f>
        <v>1.5</v>
      </c>
      <c r="D39" s="177">
        <v>4.3769999999999998</v>
      </c>
      <c r="E39" s="171">
        <f t="shared" si="29"/>
        <v>6.57</v>
      </c>
      <c r="F39" s="215">
        <f t="shared" si="21"/>
        <v>78.8</v>
      </c>
      <c r="G39" s="154"/>
      <c r="H39" s="154">
        <v>1.4</v>
      </c>
      <c r="I39" s="154"/>
      <c r="J39" s="154"/>
      <c r="K39" s="154"/>
      <c r="L39" s="154">
        <v>70</v>
      </c>
      <c r="M39" s="154">
        <f t="shared" si="22"/>
        <v>150.19999999999999</v>
      </c>
      <c r="N39" s="171">
        <v>0.49</v>
      </c>
      <c r="O39" s="154">
        <f t="shared" si="23"/>
        <v>73.599999999999994</v>
      </c>
      <c r="P39" s="154">
        <f t="shared" si="24"/>
        <v>223.8</v>
      </c>
      <c r="Q39" s="154">
        <f t="shared" si="25"/>
        <v>179</v>
      </c>
      <c r="R39" s="154">
        <f t="shared" si="26"/>
        <v>179</v>
      </c>
      <c r="S39" s="154">
        <f t="shared" si="27"/>
        <v>18.600000000000001</v>
      </c>
      <c r="T39" s="154">
        <f t="shared" si="28"/>
        <v>600.4</v>
      </c>
      <c r="U39" s="487"/>
      <c r="V39" s="154">
        <f t="shared" si="5"/>
        <v>600.4</v>
      </c>
      <c r="W39" s="154">
        <f t="shared" si="20"/>
        <v>181.3</v>
      </c>
      <c r="X39" s="278"/>
      <c r="Y39" s="24">
        <v>30</v>
      </c>
      <c r="Z39" s="48">
        <f>X39*Y39</f>
        <v>0</v>
      </c>
      <c r="AA39" s="278"/>
      <c r="AB39" s="24">
        <v>15</v>
      </c>
      <c r="AC39" s="48">
        <f>AA39*AB39</f>
        <v>0</v>
      </c>
      <c r="AD39" s="278"/>
      <c r="AE39" s="24">
        <v>30</v>
      </c>
      <c r="AF39" s="48">
        <f t="shared" si="32"/>
        <v>0</v>
      </c>
      <c r="AG39" s="278">
        <f t="shared" si="0"/>
        <v>0</v>
      </c>
      <c r="AH39" s="48">
        <f t="shared" si="33"/>
        <v>0</v>
      </c>
      <c r="AI39" s="34">
        <f>V39/12/C39*1000</f>
        <v>33355.599999999999</v>
      </c>
      <c r="AJ39" s="34"/>
      <c r="AK39" s="216">
        <f t="shared" si="3"/>
        <v>400.3</v>
      </c>
      <c r="AL39" s="216">
        <f t="shared" si="6"/>
        <v>190.3</v>
      </c>
      <c r="AM39" s="217">
        <v>0.30199999999999999</v>
      </c>
      <c r="AN39" s="76"/>
      <c r="AO39" s="76"/>
      <c r="AP39" s="76"/>
      <c r="AQ39" s="50">
        <f t="shared" si="7"/>
        <v>0</v>
      </c>
      <c r="AS39" s="66"/>
    </row>
    <row r="40" spans="1:45" x14ac:dyDescent="0.25">
      <c r="A40" s="278">
        <v>33</v>
      </c>
      <c r="B40" s="218" t="s">
        <v>92</v>
      </c>
      <c r="C40" s="224">
        <v>1</v>
      </c>
      <c r="D40" s="177">
        <v>4.3769999999999998</v>
      </c>
      <c r="E40" s="171">
        <f t="shared" si="29"/>
        <v>4.38</v>
      </c>
      <c r="F40" s="154">
        <f t="shared" si="21"/>
        <v>52.6</v>
      </c>
      <c r="G40" s="154"/>
      <c r="H40" s="154">
        <f>2773.8/1000</f>
        <v>2.8</v>
      </c>
      <c r="I40" s="154"/>
      <c r="J40" s="154"/>
      <c r="K40" s="154"/>
      <c r="L40" s="154">
        <v>38.1</v>
      </c>
      <c r="M40" s="154">
        <f t="shared" si="22"/>
        <v>93.5</v>
      </c>
      <c r="N40" s="171">
        <v>0.47</v>
      </c>
      <c r="O40" s="154">
        <f t="shared" si="23"/>
        <v>43.9</v>
      </c>
      <c r="P40" s="154">
        <f t="shared" si="24"/>
        <v>137.4</v>
      </c>
      <c r="Q40" s="154">
        <f t="shared" si="25"/>
        <v>109.9</v>
      </c>
      <c r="R40" s="154">
        <f t="shared" si="26"/>
        <v>109.9</v>
      </c>
      <c r="S40" s="154">
        <f t="shared" si="27"/>
        <v>11.4</v>
      </c>
      <c r="T40" s="154">
        <f t="shared" si="28"/>
        <v>368.6</v>
      </c>
      <c r="U40" s="487"/>
      <c r="V40" s="154">
        <f t="shared" si="5"/>
        <v>368.6</v>
      </c>
      <c r="W40" s="154">
        <f t="shared" si="20"/>
        <v>111.3</v>
      </c>
      <c r="X40" s="278">
        <v>1</v>
      </c>
      <c r="Y40" s="24">
        <v>30</v>
      </c>
      <c r="Z40" s="48">
        <f>X40*Y40</f>
        <v>30</v>
      </c>
      <c r="AA40" s="278"/>
      <c r="AB40" s="24">
        <v>15</v>
      </c>
      <c r="AC40" s="48">
        <f>AA40*AB40</f>
        <v>0</v>
      </c>
      <c r="AD40" s="278"/>
      <c r="AE40" s="24">
        <v>30</v>
      </c>
      <c r="AF40" s="48">
        <f t="shared" si="32"/>
        <v>0</v>
      </c>
      <c r="AG40" s="278">
        <f t="shared" si="0"/>
        <v>9</v>
      </c>
      <c r="AH40" s="48">
        <f t="shared" si="33"/>
        <v>39</v>
      </c>
      <c r="AI40" s="34">
        <f>V40/12/C40*1000</f>
        <v>30716.7</v>
      </c>
      <c r="AJ40" s="34"/>
      <c r="AK40" s="216">
        <f t="shared" si="3"/>
        <v>368.6</v>
      </c>
      <c r="AL40" s="216">
        <f t="shared" si="6"/>
        <v>184.6</v>
      </c>
      <c r="AM40" s="217">
        <v>0.30199999999999999</v>
      </c>
      <c r="AN40" s="76"/>
      <c r="AO40" s="76"/>
      <c r="AP40" s="76"/>
      <c r="AQ40" s="50">
        <f t="shared" si="7"/>
        <v>0</v>
      </c>
      <c r="AS40" s="66"/>
    </row>
    <row r="41" spans="1:45" x14ac:dyDescent="0.25">
      <c r="A41" s="278">
        <v>34</v>
      </c>
      <c r="B41" s="218" t="s">
        <v>102</v>
      </c>
      <c r="C41" s="58">
        <v>2</v>
      </c>
      <c r="D41" s="177">
        <v>4.3769999999999998</v>
      </c>
      <c r="E41" s="171">
        <f>C41*D41</f>
        <v>8.75</v>
      </c>
      <c r="F41" s="215">
        <f t="shared" si="21"/>
        <v>105</v>
      </c>
      <c r="G41" s="154"/>
      <c r="H41" s="154">
        <v>3.3</v>
      </c>
      <c r="I41" s="154"/>
      <c r="J41" s="154"/>
      <c r="K41" s="154"/>
      <c r="L41" s="154">
        <v>70</v>
      </c>
      <c r="M41" s="154">
        <f t="shared" si="22"/>
        <v>178.3</v>
      </c>
      <c r="N41" s="171">
        <v>0.49</v>
      </c>
      <c r="O41" s="154">
        <f t="shared" si="23"/>
        <v>87.4</v>
      </c>
      <c r="P41" s="154">
        <f t="shared" si="24"/>
        <v>265.7</v>
      </c>
      <c r="Q41" s="154">
        <f t="shared" si="25"/>
        <v>212.6</v>
      </c>
      <c r="R41" s="154">
        <f t="shared" si="26"/>
        <v>212.6</v>
      </c>
      <c r="S41" s="154">
        <f t="shared" si="27"/>
        <v>22.1</v>
      </c>
      <c r="T41" s="154">
        <f t="shared" si="28"/>
        <v>713</v>
      </c>
      <c r="U41" s="487"/>
      <c r="V41" s="154">
        <f t="shared" si="5"/>
        <v>713</v>
      </c>
      <c r="W41" s="154">
        <f t="shared" si="20"/>
        <v>215.3</v>
      </c>
      <c r="X41" s="278">
        <v>1</v>
      </c>
      <c r="Y41" s="24">
        <v>30</v>
      </c>
      <c r="Z41" s="48">
        <f>X41*Y41</f>
        <v>30</v>
      </c>
      <c r="AA41" s="278"/>
      <c r="AB41" s="24">
        <v>15</v>
      </c>
      <c r="AC41" s="48">
        <f>AA41*AB41</f>
        <v>0</v>
      </c>
      <c r="AD41" s="278"/>
      <c r="AE41" s="24">
        <v>30</v>
      </c>
      <c r="AF41" s="48">
        <f t="shared" si="32"/>
        <v>0</v>
      </c>
      <c r="AG41" s="278">
        <f t="shared" si="0"/>
        <v>9</v>
      </c>
      <c r="AH41" s="48">
        <f t="shared" si="33"/>
        <v>39</v>
      </c>
      <c r="AI41" s="34">
        <f>V41/12/C41*1000</f>
        <v>29708.3</v>
      </c>
      <c r="AJ41" s="34"/>
      <c r="AK41" s="216">
        <f t="shared" si="3"/>
        <v>356.5</v>
      </c>
      <c r="AL41" s="216">
        <f t="shared" si="6"/>
        <v>182.4</v>
      </c>
      <c r="AM41" s="217">
        <v>0.30199999999999999</v>
      </c>
      <c r="AN41" s="76"/>
      <c r="AO41" s="76"/>
      <c r="AP41" s="76"/>
      <c r="AQ41" s="50">
        <f t="shared" si="7"/>
        <v>0</v>
      </c>
      <c r="AS41" s="66"/>
    </row>
    <row r="42" spans="1:45" x14ac:dyDescent="0.25">
      <c r="A42" s="225" t="s">
        <v>126</v>
      </c>
      <c r="B42" s="218"/>
      <c r="C42" s="58"/>
      <c r="D42" s="177"/>
      <c r="E42" s="171"/>
      <c r="F42" s="215"/>
      <c r="G42" s="154"/>
      <c r="H42" s="154"/>
      <c r="I42" s="154"/>
      <c r="J42" s="154"/>
      <c r="K42" s="154"/>
      <c r="L42" s="154"/>
      <c r="M42" s="154"/>
      <c r="N42" s="171"/>
      <c r="O42" s="154"/>
      <c r="P42" s="154"/>
      <c r="Q42" s="154"/>
      <c r="R42" s="154"/>
      <c r="S42" s="154"/>
      <c r="T42" s="154"/>
      <c r="U42" s="487"/>
      <c r="V42" s="154"/>
      <c r="W42" s="154">
        <f t="shared" si="20"/>
        <v>0</v>
      </c>
      <c r="X42" s="278"/>
      <c r="Y42" s="24"/>
      <c r="Z42" s="48"/>
      <c r="AA42" s="278"/>
      <c r="AB42" s="24"/>
      <c r="AC42" s="48"/>
      <c r="AD42" s="278"/>
      <c r="AE42" s="24"/>
      <c r="AF42" s="48"/>
      <c r="AG42" s="278">
        <f t="shared" si="0"/>
        <v>0</v>
      </c>
      <c r="AH42" s="48"/>
      <c r="AJ42" s="34"/>
      <c r="AK42" s="216"/>
      <c r="AL42" s="216"/>
      <c r="AM42" s="217"/>
      <c r="AN42" s="76"/>
      <c r="AO42" s="76"/>
      <c r="AP42" s="76"/>
      <c r="AQ42" s="50">
        <f t="shared" si="7"/>
        <v>0</v>
      </c>
      <c r="AS42" s="66"/>
    </row>
    <row r="43" spans="1:45" x14ac:dyDescent="0.25">
      <c r="A43" s="278">
        <v>35</v>
      </c>
      <c r="B43" s="52" t="s">
        <v>17</v>
      </c>
      <c r="C43" s="278">
        <v>1</v>
      </c>
      <c r="D43" s="177">
        <v>12.335000000000001</v>
      </c>
      <c r="E43" s="226">
        <f>C43*D43</f>
        <v>12.34</v>
      </c>
      <c r="F43" s="227">
        <f>E43*12</f>
        <v>148.1</v>
      </c>
      <c r="G43" s="154"/>
      <c r="H43" s="154">
        <v>1.3</v>
      </c>
      <c r="I43" s="154"/>
      <c r="J43" s="154"/>
      <c r="K43" s="154">
        <f>F43*0.4</f>
        <v>59.2</v>
      </c>
      <c r="L43" s="154">
        <f t="shared" si="4"/>
        <v>50.1</v>
      </c>
      <c r="M43" s="154">
        <f>F43+G43+H43+I43+J43+K43+L43</f>
        <v>258.7</v>
      </c>
      <c r="N43" s="171">
        <v>0.47</v>
      </c>
      <c r="O43" s="154">
        <f>M43*N43</f>
        <v>121.6</v>
      </c>
      <c r="P43" s="154">
        <f>M43+O43</f>
        <v>380.3</v>
      </c>
      <c r="Q43" s="154">
        <f>P43*0.8</f>
        <v>304.2</v>
      </c>
      <c r="R43" s="154">
        <f>P43*0.8</f>
        <v>304.2</v>
      </c>
      <c r="S43" s="154">
        <f>(P43+Q43+R43)*0.032</f>
        <v>31.6</v>
      </c>
      <c r="T43" s="154">
        <f>P43+Q43+R43+S43</f>
        <v>1020.3</v>
      </c>
      <c r="U43" s="487"/>
      <c r="V43" s="154">
        <f t="shared" si="5"/>
        <v>1020.3</v>
      </c>
      <c r="W43" s="154">
        <f>AQ43</f>
        <v>303.7</v>
      </c>
      <c r="X43" s="278">
        <v>1</v>
      </c>
      <c r="Y43" s="24">
        <v>35</v>
      </c>
      <c r="Z43" s="48">
        <f>X43*Y43</f>
        <v>35</v>
      </c>
      <c r="AA43" s="278"/>
      <c r="AB43" s="24">
        <v>17.5</v>
      </c>
      <c r="AC43" s="48">
        <f>AA43*AB43</f>
        <v>0</v>
      </c>
      <c r="AD43" s="278"/>
      <c r="AE43" s="24">
        <v>35</v>
      </c>
      <c r="AF43" s="48">
        <f>AD43*AE43</f>
        <v>0</v>
      </c>
      <c r="AG43" s="278">
        <f t="shared" si="0"/>
        <v>10.5</v>
      </c>
      <c r="AH43" s="48">
        <f>Z43+AC43+AF43+AG43</f>
        <v>45.5</v>
      </c>
      <c r="AI43" s="39">
        <f t="shared" ref="AI43:AI51" si="34">V43/12/C43*1000</f>
        <v>85025</v>
      </c>
      <c r="AJ43" s="34"/>
      <c r="AK43" s="34">
        <f t="shared" ref="AK43:AK51" si="35">V43/C43</f>
        <v>1020.3</v>
      </c>
      <c r="AL43" s="34">
        <f>((979*0.302)+((AK43-979)*0.182))</f>
        <v>303.2</v>
      </c>
      <c r="AM43" s="51">
        <f>AL43/AK43</f>
        <v>0.29699999999999999</v>
      </c>
      <c r="AN43" s="50">
        <f>AK43*0.22</f>
        <v>224.5</v>
      </c>
      <c r="AO43" s="50">
        <f>865*0.029</f>
        <v>25.1</v>
      </c>
      <c r="AP43" s="50">
        <f>AK43*0.053</f>
        <v>54.1</v>
      </c>
      <c r="AQ43" s="50">
        <f t="shared" si="7"/>
        <v>303.7</v>
      </c>
      <c r="AR43" s="51"/>
    </row>
    <row r="44" spans="1:45" x14ac:dyDescent="0.25">
      <c r="A44" s="278">
        <v>36</v>
      </c>
      <c r="B44" s="52" t="s">
        <v>38</v>
      </c>
      <c r="C44" s="167">
        <f>2-0.25</f>
        <v>1.75</v>
      </c>
      <c r="D44" s="177">
        <v>6.2859999999999996</v>
      </c>
      <c r="E44" s="171">
        <f t="shared" ref="E44:E51" si="36">C44*D44</f>
        <v>11</v>
      </c>
      <c r="F44" s="154">
        <f t="shared" ref="F44:F51" si="37">E44*12</f>
        <v>132</v>
      </c>
      <c r="G44" s="154">
        <f>74.5/1000</f>
        <v>0.1</v>
      </c>
      <c r="H44" s="154">
        <v>2</v>
      </c>
      <c r="I44" s="154"/>
      <c r="J44" s="154"/>
      <c r="K44" s="154"/>
      <c r="L44" s="154">
        <f t="shared" si="4"/>
        <v>44.7</v>
      </c>
      <c r="M44" s="154">
        <f t="shared" ref="M44:M51" si="38">F44+G44+H44+I44+J44+K44+L44</f>
        <v>178.8</v>
      </c>
      <c r="N44" s="171">
        <v>0.45</v>
      </c>
      <c r="O44" s="154">
        <f t="shared" ref="O44:O51" si="39">M44*N44</f>
        <v>80.5</v>
      </c>
      <c r="P44" s="154">
        <f t="shared" ref="P44:P51" si="40">M44+O44</f>
        <v>259.3</v>
      </c>
      <c r="Q44" s="154">
        <f t="shared" ref="Q44:Q51" si="41">P44*0.8</f>
        <v>207.4</v>
      </c>
      <c r="R44" s="154">
        <f t="shared" ref="R44:R51" si="42">P44*0.8</f>
        <v>207.4</v>
      </c>
      <c r="S44" s="154">
        <f t="shared" ref="S44:S51" si="43">(P44+Q44+R44)*0.032</f>
        <v>21.6</v>
      </c>
      <c r="T44" s="154">
        <f t="shared" ref="T44:T51" si="44">P44+Q44+R44+S44</f>
        <v>695.7</v>
      </c>
      <c r="U44" s="487"/>
      <c r="V44" s="154">
        <f t="shared" si="5"/>
        <v>695.7</v>
      </c>
      <c r="W44" s="154">
        <f t="shared" si="20"/>
        <v>210.1</v>
      </c>
      <c r="X44" s="278">
        <v>1</v>
      </c>
      <c r="Y44" s="24">
        <v>35</v>
      </c>
      <c r="Z44" s="48">
        <f t="shared" ref="Z44:Z51" si="45">X44*Y44</f>
        <v>35</v>
      </c>
      <c r="AA44" s="54"/>
      <c r="AB44" s="24">
        <v>17.5</v>
      </c>
      <c r="AC44" s="48">
        <f t="shared" ref="AC44:AC51" si="46">AA44*AB44</f>
        <v>0</v>
      </c>
      <c r="AD44" s="54"/>
      <c r="AE44" s="24">
        <v>35</v>
      </c>
      <c r="AF44" s="48">
        <f t="shared" ref="AF44:AF51" si="47">AD44*AE44</f>
        <v>0</v>
      </c>
      <c r="AG44" s="278">
        <f t="shared" si="0"/>
        <v>10.5</v>
      </c>
      <c r="AH44" s="48">
        <f t="shared" ref="AH44:AH51" si="48">Z44+AC44+AF44+AG44</f>
        <v>45.5</v>
      </c>
      <c r="AI44" s="39">
        <f t="shared" si="34"/>
        <v>33128.57</v>
      </c>
      <c r="AJ44" s="34"/>
      <c r="AK44" s="34">
        <f t="shared" si="35"/>
        <v>397.5</v>
      </c>
      <c r="AL44" s="34">
        <f t="shared" ref="AL44:AL51" si="49">((979*0.302)+((AK44-979)*0.182))</f>
        <v>189.8</v>
      </c>
      <c r="AM44" s="51">
        <v>0.30199999999999999</v>
      </c>
      <c r="AN44" s="50"/>
      <c r="AO44" s="50"/>
      <c r="AP44" s="50"/>
      <c r="AQ44" s="50">
        <f t="shared" si="7"/>
        <v>0</v>
      </c>
      <c r="AR44" s="51"/>
    </row>
    <row r="45" spans="1:45" ht="12" customHeight="1" x14ac:dyDescent="0.25">
      <c r="A45" s="278">
        <v>37</v>
      </c>
      <c r="B45" s="44" t="s">
        <v>104</v>
      </c>
      <c r="C45" s="54">
        <v>1</v>
      </c>
      <c r="D45" s="177">
        <v>8.4730000000000008</v>
      </c>
      <c r="E45" s="171">
        <f t="shared" si="36"/>
        <v>8.4700000000000006</v>
      </c>
      <c r="F45" s="154">
        <f t="shared" si="37"/>
        <v>101.6</v>
      </c>
      <c r="G45" s="154"/>
      <c r="H45" s="154"/>
      <c r="I45" s="154"/>
      <c r="J45" s="154"/>
      <c r="K45" s="154"/>
      <c r="L45" s="154">
        <f t="shared" si="4"/>
        <v>34.4</v>
      </c>
      <c r="M45" s="154">
        <f t="shared" si="38"/>
        <v>136</v>
      </c>
      <c r="N45" s="171">
        <v>0.41</v>
      </c>
      <c r="O45" s="154">
        <f t="shared" si="39"/>
        <v>55.8</v>
      </c>
      <c r="P45" s="154">
        <f t="shared" si="40"/>
        <v>191.8</v>
      </c>
      <c r="Q45" s="154">
        <f t="shared" si="41"/>
        <v>153.4</v>
      </c>
      <c r="R45" s="154">
        <f t="shared" si="42"/>
        <v>153.4</v>
      </c>
      <c r="S45" s="154">
        <f t="shared" si="43"/>
        <v>16</v>
      </c>
      <c r="T45" s="154">
        <f t="shared" si="44"/>
        <v>514.6</v>
      </c>
      <c r="U45" s="487"/>
      <c r="V45" s="154">
        <f t="shared" si="5"/>
        <v>514.6</v>
      </c>
      <c r="W45" s="154">
        <f t="shared" si="20"/>
        <v>155.4</v>
      </c>
      <c r="X45" s="278">
        <v>1</v>
      </c>
      <c r="Y45" s="24">
        <v>35</v>
      </c>
      <c r="Z45" s="48">
        <f t="shared" si="45"/>
        <v>35</v>
      </c>
      <c r="AA45" s="54"/>
      <c r="AB45" s="24">
        <v>17.5</v>
      </c>
      <c r="AC45" s="48">
        <f t="shared" si="46"/>
        <v>0</v>
      </c>
      <c r="AD45" s="54">
        <v>1</v>
      </c>
      <c r="AE45" s="24">
        <v>35</v>
      </c>
      <c r="AF45" s="48">
        <f t="shared" si="47"/>
        <v>35</v>
      </c>
      <c r="AG45" s="278">
        <f t="shared" si="0"/>
        <v>21</v>
      </c>
      <c r="AH45" s="48">
        <f t="shared" si="48"/>
        <v>91</v>
      </c>
      <c r="AI45" s="39">
        <f t="shared" si="34"/>
        <v>42883.33</v>
      </c>
      <c r="AJ45" s="34"/>
      <c r="AK45" s="34">
        <f t="shared" si="35"/>
        <v>514.6</v>
      </c>
      <c r="AL45" s="34">
        <f t="shared" si="49"/>
        <v>211.1</v>
      </c>
      <c r="AM45" s="51">
        <v>0.30199999999999999</v>
      </c>
      <c r="AN45" s="50"/>
      <c r="AO45" s="50"/>
      <c r="AP45" s="50"/>
      <c r="AQ45" s="50">
        <f t="shared" si="7"/>
        <v>0</v>
      </c>
      <c r="AR45" s="51"/>
    </row>
    <row r="46" spans="1:45" x14ac:dyDescent="0.25">
      <c r="A46" s="278">
        <v>38</v>
      </c>
      <c r="B46" s="52" t="s">
        <v>39</v>
      </c>
      <c r="C46" s="24">
        <v>0.5</v>
      </c>
      <c r="D46" s="177">
        <v>6.2859999999999996</v>
      </c>
      <c r="E46" s="171">
        <f t="shared" si="36"/>
        <v>3.14</v>
      </c>
      <c r="F46" s="154">
        <f t="shared" si="37"/>
        <v>37.700000000000003</v>
      </c>
      <c r="G46" s="154"/>
      <c r="H46" s="154">
        <f>1106.5/1000</f>
        <v>1.1000000000000001</v>
      </c>
      <c r="I46" s="154"/>
      <c r="J46" s="154"/>
      <c r="K46" s="154"/>
      <c r="L46" s="154">
        <f>F46*$L$4</f>
        <v>12.8</v>
      </c>
      <c r="M46" s="154">
        <f t="shared" si="38"/>
        <v>51.6</v>
      </c>
      <c r="N46" s="171">
        <v>0.45</v>
      </c>
      <c r="O46" s="154">
        <f t="shared" si="39"/>
        <v>23.2</v>
      </c>
      <c r="P46" s="154">
        <f t="shared" si="40"/>
        <v>74.8</v>
      </c>
      <c r="Q46" s="154">
        <f t="shared" si="41"/>
        <v>59.8</v>
      </c>
      <c r="R46" s="154">
        <f t="shared" si="42"/>
        <v>59.8</v>
      </c>
      <c r="S46" s="154">
        <f t="shared" si="43"/>
        <v>6.2</v>
      </c>
      <c r="T46" s="154">
        <f t="shared" si="44"/>
        <v>200.6</v>
      </c>
      <c r="U46" s="487"/>
      <c r="V46" s="154">
        <f t="shared" si="5"/>
        <v>200.6</v>
      </c>
      <c r="W46" s="154">
        <f t="shared" si="20"/>
        <v>60.6</v>
      </c>
      <c r="X46" s="278"/>
      <c r="Y46" s="24">
        <v>35</v>
      </c>
      <c r="Z46" s="48">
        <f t="shared" si="45"/>
        <v>0</v>
      </c>
      <c r="AA46" s="54"/>
      <c r="AB46" s="24">
        <v>17.5</v>
      </c>
      <c r="AC46" s="48">
        <f t="shared" si="46"/>
        <v>0</v>
      </c>
      <c r="AD46" s="54"/>
      <c r="AE46" s="24">
        <v>35</v>
      </c>
      <c r="AF46" s="48">
        <f t="shared" si="47"/>
        <v>0</v>
      </c>
      <c r="AG46" s="278">
        <f t="shared" si="0"/>
        <v>0</v>
      </c>
      <c r="AH46" s="48">
        <f t="shared" si="48"/>
        <v>0</v>
      </c>
      <c r="AI46" s="39">
        <f t="shared" si="34"/>
        <v>33433.33</v>
      </c>
      <c r="AJ46" s="34"/>
      <c r="AK46" s="34">
        <f t="shared" si="35"/>
        <v>401.2</v>
      </c>
      <c r="AL46" s="34">
        <f t="shared" si="49"/>
        <v>190.5</v>
      </c>
      <c r="AM46" s="51">
        <v>0.30199999999999999</v>
      </c>
      <c r="AQ46" s="50">
        <f t="shared" si="7"/>
        <v>0</v>
      </c>
      <c r="AR46" s="51"/>
    </row>
    <row r="47" spans="1:45" x14ac:dyDescent="0.25">
      <c r="A47" s="278">
        <v>39</v>
      </c>
      <c r="B47" s="218" t="s">
        <v>40</v>
      </c>
      <c r="C47" s="54">
        <v>1</v>
      </c>
      <c r="D47" s="177">
        <v>11.061999999999999</v>
      </c>
      <c r="E47" s="171">
        <f t="shared" si="36"/>
        <v>11.06</v>
      </c>
      <c r="F47" s="154">
        <f t="shared" si="37"/>
        <v>132.69999999999999</v>
      </c>
      <c r="G47" s="228">
        <f>131.07/1000</f>
        <v>0.13</v>
      </c>
      <c r="H47" s="154">
        <v>2.1</v>
      </c>
      <c r="I47" s="154"/>
      <c r="J47" s="154"/>
      <c r="K47" s="154">
        <f>D47*2*0.2</f>
        <v>4.4000000000000004</v>
      </c>
      <c r="L47" s="154">
        <f t="shared" si="4"/>
        <v>44.9</v>
      </c>
      <c r="M47" s="154">
        <f t="shared" si="38"/>
        <v>184.2</v>
      </c>
      <c r="N47" s="171">
        <v>0.43</v>
      </c>
      <c r="O47" s="154">
        <f t="shared" si="39"/>
        <v>79.2</v>
      </c>
      <c r="P47" s="154">
        <f t="shared" si="40"/>
        <v>263.39999999999998</v>
      </c>
      <c r="Q47" s="154">
        <f t="shared" si="41"/>
        <v>210.7</v>
      </c>
      <c r="R47" s="154">
        <f t="shared" si="42"/>
        <v>210.7</v>
      </c>
      <c r="S47" s="154">
        <f t="shared" si="43"/>
        <v>21.9</v>
      </c>
      <c r="T47" s="154">
        <f t="shared" si="44"/>
        <v>706.7</v>
      </c>
      <c r="U47" s="487"/>
      <c r="V47" s="154">
        <f t="shared" si="5"/>
        <v>706.7</v>
      </c>
      <c r="W47" s="154">
        <f t="shared" si="20"/>
        <v>213.4</v>
      </c>
      <c r="X47" s="278"/>
      <c r="Y47" s="24">
        <v>35</v>
      </c>
      <c r="Z47" s="48">
        <f t="shared" si="45"/>
        <v>0</v>
      </c>
      <c r="AA47" s="54"/>
      <c r="AB47" s="24">
        <v>17.5</v>
      </c>
      <c r="AC47" s="48">
        <f t="shared" si="46"/>
        <v>0</v>
      </c>
      <c r="AD47" s="54"/>
      <c r="AE47" s="24">
        <v>35</v>
      </c>
      <c r="AF47" s="48">
        <f t="shared" si="47"/>
        <v>0</v>
      </c>
      <c r="AG47" s="278">
        <f t="shared" si="0"/>
        <v>0</v>
      </c>
      <c r="AH47" s="48">
        <f t="shared" si="48"/>
        <v>0</v>
      </c>
      <c r="AI47" s="39">
        <f t="shared" si="34"/>
        <v>58891.67</v>
      </c>
      <c r="AJ47" s="34"/>
      <c r="AK47" s="34">
        <f t="shared" si="35"/>
        <v>706.7</v>
      </c>
      <c r="AL47" s="34">
        <f t="shared" si="49"/>
        <v>246.1</v>
      </c>
      <c r="AM47" s="51">
        <v>0.30199999999999999</v>
      </c>
      <c r="AN47" s="50"/>
      <c r="AO47" s="50"/>
      <c r="AP47" s="50"/>
      <c r="AQ47" s="50">
        <f t="shared" si="7"/>
        <v>0</v>
      </c>
      <c r="AR47" s="51"/>
    </row>
    <row r="48" spans="1:45" x14ac:dyDescent="0.25">
      <c r="A48" s="278">
        <v>40</v>
      </c>
      <c r="B48" s="218" t="s">
        <v>41</v>
      </c>
      <c r="C48" s="54">
        <v>1</v>
      </c>
      <c r="D48" s="177">
        <v>8.4730000000000008</v>
      </c>
      <c r="E48" s="171">
        <f t="shared" si="36"/>
        <v>8.4700000000000006</v>
      </c>
      <c r="F48" s="154">
        <f t="shared" si="37"/>
        <v>101.6</v>
      </c>
      <c r="G48" s="154">
        <f>100.4/1000</f>
        <v>0.1</v>
      </c>
      <c r="H48" s="154">
        <v>0.5</v>
      </c>
      <c r="I48" s="154"/>
      <c r="J48" s="154"/>
      <c r="K48" s="154">
        <f>D48*8.5*0.2</f>
        <v>14.4</v>
      </c>
      <c r="L48" s="154">
        <f t="shared" si="4"/>
        <v>34.4</v>
      </c>
      <c r="M48" s="154">
        <f t="shared" si="38"/>
        <v>151</v>
      </c>
      <c r="N48" s="171">
        <v>0.41</v>
      </c>
      <c r="O48" s="154">
        <f t="shared" si="39"/>
        <v>61.9</v>
      </c>
      <c r="P48" s="154">
        <f t="shared" si="40"/>
        <v>212.9</v>
      </c>
      <c r="Q48" s="154">
        <f t="shared" si="41"/>
        <v>170.3</v>
      </c>
      <c r="R48" s="154">
        <f t="shared" si="42"/>
        <v>170.3</v>
      </c>
      <c r="S48" s="154">
        <f t="shared" si="43"/>
        <v>17.7</v>
      </c>
      <c r="T48" s="154">
        <f t="shared" si="44"/>
        <v>571.20000000000005</v>
      </c>
      <c r="U48" s="487"/>
      <c r="V48" s="154">
        <f t="shared" si="5"/>
        <v>571.20000000000005</v>
      </c>
      <c r="W48" s="154">
        <f t="shared" si="20"/>
        <v>172.5</v>
      </c>
      <c r="X48" s="278">
        <v>1</v>
      </c>
      <c r="Y48" s="24">
        <v>35</v>
      </c>
      <c r="Z48" s="48">
        <f t="shared" si="45"/>
        <v>35</v>
      </c>
      <c r="AA48" s="54"/>
      <c r="AB48" s="24">
        <v>17.5</v>
      </c>
      <c r="AC48" s="48">
        <f>AA48*AB48</f>
        <v>0</v>
      </c>
      <c r="AD48" s="54"/>
      <c r="AE48" s="24">
        <v>35</v>
      </c>
      <c r="AF48" s="48">
        <f t="shared" si="47"/>
        <v>0</v>
      </c>
      <c r="AG48" s="278">
        <f t="shared" si="0"/>
        <v>10.5</v>
      </c>
      <c r="AH48" s="48">
        <f t="shared" si="48"/>
        <v>45.5</v>
      </c>
      <c r="AI48" s="39">
        <f t="shared" si="34"/>
        <v>47600</v>
      </c>
      <c r="AJ48" s="34"/>
      <c r="AK48" s="34">
        <f t="shared" si="35"/>
        <v>571.20000000000005</v>
      </c>
      <c r="AL48" s="34">
        <f t="shared" si="49"/>
        <v>221.4</v>
      </c>
      <c r="AM48" s="51">
        <v>0.30199999999999999</v>
      </c>
      <c r="AN48" s="50"/>
      <c r="AO48" s="50"/>
      <c r="AP48" s="50"/>
      <c r="AQ48" s="50">
        <f t="shared" si="7"/>
        <v>0</v>
      </c>
      <c r="AR48" s="51"/>
    </row>
    <row r="49" spans="1:44" x14ac:dyDescent="0.25">
      <c r="A49" s="278">
        <v>41</v>
      </c>
      <c r="B49" s="218" t="s">
        <v>42</v>
      </c>
      <c r="C49" s="24">
        <v>0.5</v>
      </c>
      <c r="D49" s="213">
        <v>11.061999999999999</v>
      </c>
      <c r="E49" s="171">
        <f t="shared" si="36"/>
        <v>5.53</v>
      </c>
      <c r="F49" s="154">
        <f t="shared" si="37"/>
        <v>66.400000000000006</v>
      </c>
      <c r="G49" s="154">
        <f>65.5/1000</f>
        <v>0.1</v>
      </c>
      <c r="H49" s="154">
        <v>3</v>
      </c>
      <c r="I49" s="154"/>
      <c r="J49" s="154"/>
      <c r="K49" s="154"/>
      <c r="L49" s="154">
        <f t="shared" si="4"/>
        <v>22.5</v>
      </c>
      <c r="M49" s="154">
        <f t="shared" si="38"/>
        <v>92</v>
      </c>
      <c r="N49" s="171">
        <v>0.43</v>
      </c>
      <c r="O49" s="154">
        <f t="shared" si="39"/>
        <v>39.6</v>
      </c>
      <c r="P49" s="154">
        <f t="shared" si="40"/>
        <v>131.6</v>
      </c>
      <c r="Q49" s="154">
        <f t="shared" si="41"/>
        <v>105.3</v>
      </c>
      <c r="R49" s="154">
        <f t="shared" si="42"/>
        <v>105.3</v>
      </c>
      <c r="S49" s="154">
        <f t="shared" si="43"/>
        <v>11</v>
      </c>
      <c r="T49" s="154">
        <f t="shared" si="44"/>
        <v>353.2</v>
      </c>
      <c r="U49" s="487"/>
      <c r="V49" s="154">
        <f t="shared" si="5"/>
        <v>353.2</v>
      </c>
      <c r="W49" s="154">
        <f t="shared" si="20"/>
        <v>106.7</v>
      </c>
      <c r="X49" s="278"/>
      <c r="Y49" s="24">
        <v>35</v>
      </c>
      <c r="Z49" s="48">
        <f t="shared" si="45"/>
        <v>0</v>
      </c>
      <c r="AA49" s="54"/>
      <c r="AB49" s="24">
        <v>17.5</v>
      </c>
      <c r="AC49" s="48">
        <f t="shared" si="46"/>
        <v>0</v>
      </c>
      <c r="AD49" s="54"/>
      <c r="AE49" s="24">
        <v>35</v>
      </c>
      <c r="AF49" s="48">
        <f t="shared" si="47"/>
        <v>0</v>
      </c>
      <c r="AG49" s="278">
        <f t="shared" si="0"/>
        <v>0</v>
      </c>
      <c r="AH49" s="48">
        <f t="shared" si="48"/>
        <v>0</v>
      </c>
      <c r="AI49" s="39">
        <f t="shared" si="34"/>
        <v>58866.67</v>
      </c>
      <c r="AJ49" s="34"/>
      <c r="AK49" s="34">
        <f t="shared" si="35"/>
        <v>706.4</v>
      </c>
      <c r="AL49" s="34">
        <f t="shared" si="49"/>
        <v>246</v>
      </c>
      <c r="AM49" s="51">
        <v>0.30199999999999999</v>
      </c>
      <c r="AO49" s="50"/>
      <c r="AP49" s="50"/>
      <c r="AQ49" s="50">
        <f t="shared" si="7"/>
        <v>0</v>
      </c>
      <c r="AR49" s="51"/>
    </row>
    <row r="50" spans="1:44" x14ac:dyDescent="0.25">
      <c r="A50" s="278">
        <v>42</v>
      </c>
      <c r="B50" s="52" t="s">
        <v>43</v>
      </c>
      <c r="C50" s="167">
        <v>0.25</v>
      </c>
      <c r="D50" s="177">
        <v>8.4730000000000008</v>
      </c>
      <c r="E50" s="171">
        <f t="shared" si="36"/>
        <v>2.12</v>
      </c>
      <c r="F50" s="154">
        <f t="shared" si="37"/>
        <v>25.4</v>
      </c>
      <c r="G50" s="154"/>
      <c r="H50" s="154"/>
      <c r="I50" s="154"/>
      <c r="J50" s="154"/>
      <c r="K50" s="154"/>
      <c r="L50" s="154">
        <f t="shared" si="4"/>
        <v>8.6</v>
      </c>
      <c r="M50" s="154">
        <f t="shared" si="38"/>
        <v>34</v>
      </c>
      <c r="N50" s="171">
        <v>0.41</v>
      </c>
      <c r="O50" s="154">
        <f t="shared" si="39"/>
        <v>13.9</v>
      </c>
      <c r="P50" s="154">
        <f t="shared" si="40"/>
        <v>47.9</v>
      </c>
      <c r="Q50" s="154">
        <f t="shared" si="41"/>
        <v>38.299999999999997</v>
      </c>
      <c r="R50" s="154">
        <f t="shared" si="42"/>
        <v>38.299999999999997</v>
      </c>
      <c r="S50" s="154">
        <f t="shared" si="43"/>
        <v>4</v>
      </c>
      <c r="T50" s="154">
        <f t="shared" si="44"/>
        <v>128.5</v>
      </c>
      <c r="U50" s="487"/>
      <c r="V50" s="154">
        <f t="shared" si="5"/>
        <v>128.5</v>
      </c>
      <c r="W50" s="154">
        <f t="shared" si="20"/>
        <v>38.799999999999997</v>
      </c>
      <c r="X50" s="278"/>
      <c r="Y50" s="24">
        <v>35</v>
      </c>
      <c r="Z50" s="48">
        <f t="shared" si="45"/>
        <v>0</v>
      </c>
      <c r="AA50" s="54"/>
      <c r="AB50" s="24">
        <v>17.5</v>
      </c>
      <c r="AC50" s="48">
        <f t="shared" si="46"/>
        <v>0</v>
      </c>
      <c r="AD50" s="54"/>
      <c r="AE50" s="24">
        <v>35</v>
      </c>
      <c r="AF50" s="48">
        <f t="shared" si="47"/>
        <v>0</v>
      </c>
      <c r="AG50" s="278">
        <f t="shared" si="0"/>
        <v>0</v>
      </c>
      <c r="AH50" s="48">
        <f t="shared" si="48"/>
        <v>0</v>
      </c>
      <c r="AI50" s="39">
        <f t="shared" si="34"/>
        <v>42833.33</v>
      </c>
      <c r="AJ50" s="34"/>
      <c r="AK50" s="34">
        <f t="shared" si="35"/>
        <v>514</v>
      </c>
      <c r="AL50" s="34">
        <f t="shared" si="49"/>
        <v>211</v>
      </c>
      <c r="AM50" s="51">
        <v>0.30199999999999999</v>
      </c>
      <c r="AN50" s="50"/>
      <c r="AO50" s="50"/>
      <c r="AP50" s="50"/>
      <c r="AQ50" s="50">
        <f t="shared" si="7"/>
        <v>0</v>
      </c>
      <c r="AR50" s="51"/>
    </row>
    <row r="51" spans="1:44" x14ac:dyDescent="0.25">
      <c r="A51" s="278">
        <v>43</v>
      </c>
      <c r="B51" s="229" t="s">
        <v>44</v>
      </c>
      <c r="C51" s="179">
        <f>1-0.25</f>
        <v>0.75</v>
      </c>
      <c r="D51" s="213">
        <v>11.061999999999999</v>
      </c>
      <c r="E51" s="171">
        <f t="shared" si="36"/>
        <v>8.3000000000000007</v>
      </c>
      <c r="F51" s="154">
        <f t="shared" si="37"/>
        <v>99.6</v>
      </c>
      <c r="G51" s="154"/>
      <c r="H51" s="154">
        <v>2.4</v>
      </c>
      <c r="I51" s="154"/>
      <c r="J51" s="154"/>
      <c r="K51" s="154"/>
      <c r="L51" s="154">
        <f t="shared" si="4"/>
        <v>33.700000000000003</v>
      </c>
      <c r="M51" s="154">
        <f t="shared" si="38"/>
        <v>135.69999999999999</v>
      </c>
      <c r="N51" s="171">
        <v>0.43</v>
      </c>
      <c r="O51" s="154">
        <f t="shared" si="39"/>
        <v>58.4</v>
      </c>
      <c r="P51" s="154">
        <f t="shared" si="40"/>
        <v>194.1</v>
      </c>
      <c r="Q51" s="154">
        <f t="shared" si="41"/>
        <v>155.30000000000001</v>
      </c>
      <c r="R51" s="154">
        <f t="shared" si="42"/>
        <v>155.30000000000001</v>
      </c>
      <c r="S51" s="154">
        <f t="shared" si="43"/>
        <v>16.2</v>
      </c>
      <c r="T51" s="154">
        <f t="shared" si="44"/>
        <v>520.9</v>
      </c>
      <c r="U51" s="487"/>
      <c r="V51" s="154">
        <f>T51*$U$9-0.3</f>
        <v>520.6</v>
      </c>
      <c r="W51" s="154">
        <f t="shared" si="20"/>
        <v>157.19999999999999</v>
      </c>
      <c r="X51" s="278"/>
      <c r="Y51" s="24">
        <v>35</v>
      </c>
      <c r="Z51" s="48">
        <f t="shared" si="45"/>
        <v>0</v>
      </c>
      <c r="AA51" s="54"/>
      <c r="AB51" s="24">
        <v>17.5</v>
      </c>
      <c r="AC51" s="48">
        <f t="shared" si="46"/>
        <v>0</v>
      </c>
      <c r="AD51" s="54"/>
      <c r="AE51" s="24">
        <v>35</v>
      </c>
      <c r="AF51" s="48">
        <f t="shared" si="47"/>
        <v>0</v>
      </c>
      <c r="AG51" s="278">
        <f t="shared" si="0"/>
        <v>0</v>
      </c>
      <c r="AH51" s="48">
        <f t="shared" si="48"/>
        <v>0</v>
      </c>
      <c r="AI51" s="39">
        <f t="shared" si="34"/>
        <v>57844.44</v>
      </c>
      <c r="AJ51" s="34"/>
      <c r="AK51" s="34">
        <f t="shared" si="35"/>
        <v>694.1</v>
      </c>
      <c r="AL51" s="34">
        <f t="shared" si="49"/>
        <v>243.8</v>
      </c>
      <c r="AM51" s="51">
        <v>0.30199999999999999</v>
      </c>
      <c r="AN51" s="50"/>
      <c r="AO51" s="50"/>
      <c r="AP51" s="50"/>
      <c r="AQ51" s="50">
        <f t="shared" si="7"/>
        <v>0</v>
      </c>
      <c r="AR51" s="51"/>
    </row>
    <row r="52" spans="1:44" s="33" customFormat="1" ht="20.25" customHeight="1" x14ac:dyDescent="0.25">
      <c r="A52" s="481" t="s">
        <v>72</v>
      </c>
      <c r="B52" s="481"/>
      <c r="C52" s="230">
        <f t="shared" ref="C52:AG52" si="50">SUM(C9:C51)</f>
        <v>59.75</v>
      </c>
      <c r="D52" s="231">
        <f t="shared" si="50"/>
        <v>419</v>
      </c>
      <c r="E52" s="231">
        <f t="shared" si="50"/>
        <v>591.79999999999995</v>
      </c>
      <c r="F52" s="231">
        <f t="shared" si="50"/>
        <v>7100.7</v>
      </c>
      <c r="G52" s="231">
        <f t="shared" si="50"/>
        <v>0.4</v>
      </c>
      <c r="H52" s="231">
        <f t="shared" si="50"/>
        <v>204.3</v>
      </c>
      <c r="I52" s="231">
        <f t="shared" si="50"/>
        <v>0</v>
      </c>
      <c r="J52" s="231">
        <f t="shared" si="50"/>
        <v>93.9</v>
      </c>
      <c r="K52" s="231">
        <f t="shared" si="50"/>
        <v>1647.5</v>
      </c>
      <c r="L52" s="231">
        <f t="shared" si="50"/>
        <v>2508.9</v>
      </c>
      <c r="M52" s="231">
        <f t="shared" si="50"/>
        <v>11555.7</v>
      </c>
      <c r="N52" s="231">
        <f t="shared" si="50"/>
        <v>19.100000000000001</v>
      </c>
      <c r="O52" s="231">
        <f t="shared" si="50"/>
        <v>5402.6</v>
      </c>
      <c r="P52" s="231">
        <f t="shared" si="50"/>
        <v>16958.3</v>
      </c>
      <c r="Q52" s="231">
        <f t="shared" si="50"/>
        <v>13566</v>
      </c>
      <c r="R52" s="231">
        <f t="shared" si="50"/>
        <v>13566</v>
      </c>
      <c r="S52" s="231">
        <f t="shared" si="50"/>
        <v>1410.9</v>
      </c>
      <c r="T52" s="231">
        <f t="shared" si="50"/>
        <v>45501.2</v>
      </c>
      <c r="U52" s="231">
        <f t="shared" si="50"/>
        <v>1</v>
      </c>
      <c r="V52" s="231">
        <f t="shared" si="50"/>
        <v>45500.9</v>
      </c>
      <c r="W52" s="231">
        <f t="shared" si="50"/>
        <v>13348.7</v>
      </c>
      <c r="X52" s="231">
        <f t="shared" si="50"/>
        <v>34</v>
      </c>
      <c r="Y52" s="231">
        <f t="shared" si="50"/>
        <v>1305</v>
      </c>
      <c r="Z52" s="231">
        <f t="shared" si="50"/>
        <v>1040</v>
      </c>
      <c r="AA52" s="231">
        <f t="shared" si="50"/>
        <v>17</v>
      </c>
      <c r="AB52" s="231">
        <f t="shared" si="50"/>
        <v>652.5</v>
      </c>
      <c r="AC52" s="231">
        <f t="shared" si="50"/>
        <v>255</v>
      </c>
      <c r="AD52" s="231">
        <f t="shared" si="50"/>
        <v>6</v>
      </c>
      <c r="AE52" s="231">
        <f t="shared" si="50"/>
        <v>1305</v>
      </c>
      <c r="AF52" s="231">
        <f t="shared" si="50"/>
        <v>185</v>
      </c>
      <c r="AG52" s="231">
        <f t="shared" si="50"/>
        <v>444</v>
      </c>
      <c r="AH52" s="231">
        <f>SUM(AH9:AH51)</f>
        <v>1924</v>
      </c>
      <c r="AN52" s="211"/>
      <c r="AO52" s="211"/>
      <c r="AP52" s="211"/>
      <c r="AQ52" s="50">
        <f t="shared" si="7"/>
        <v>0</v>
      </c>
    </row>
    <row r="53" spans="1:44" ht="17.25" customHeight="1" x14ac:dyDescent="0.25">
      <c r="G53" s="39"/>
      <c r="H53" s="39"/>
      <c r="I53" s="39"/>
      <c r="J53" s="39"/>
      <c r="K53" s="39"/>
      <c r="L53" s="232"/>
      <c r="M53" s="232"/>
      <c r="N53" s="232"/>
      <c r="O53" s="232"/>
      <c r="P53" s="232"/>
      <c r="Q53" s="39"/>
      <c r="R53" s="39"/>
      <c r="S53" s="39"/>
      <c r="T53" s="39"/>
      <c r="V53" s="34"/>
      <c r="W53" s="66"/>
      <c r="X53" s="39"/>
      <c r="AA53" s="39"/>
      <c r="AD53" s="39"/>
      <c r="AG53" s="39"/>
      <c r="AH53" s="39"/>
    </row>
    <row r="54" spans="1:44" s="75" customFormat="1" x14ac:dyDescent="0.25">
      <c r="A54" s="70"/>
      <c r="B54" s="70"/>
      <c r="C54" s="71"/>
      <c r="D54" s="72"/>
      <c r="E54" s="72"/>
      <c r="F54" s="72"/>
      <c r="G54" s="72"/>
      <c r="H54" s="73"/>
      <c r="I54" s="73"/>
      <c r="J54" s="27"/>
      <c r="K54" s="27"/>
      <c r="L54" s="27"/>
      <c r="M54" s="27"/>
      <c r="N54" s="74"/>
      <c r="O54" s="27"/>
      <c r="P54" s="27"/>
      <c r="Q54" s="27"/>
      <c r="R54" s="27"/>
      <c r="S54" s="27"/>
      <c r="T54" s="27"/>
      <c r="U54" s="27"/>
      <c r="V54" s="27"/>
      <c r="W54" s="27"/>
      <c r="X54" s="27"/>
      <c r="Y54" s="27"/>
      <c r="Z54" s="27"/>
      <c r="AA54" s="27"/>
      <c r="AB54" s="27"/>
      <c r="AC54" s="27"/>
      <c r="AD54" s="27"/>
      <c r="AE54" s="27"/>
      <c r="AF54" s="27"/>
      <c r="AG54" s="27"/>
      <c r="AH54" s="27"/>
      <c r="AI54" s="27"/>
      <c r="AJ54" s="76"/>
      <c r="AN54" s="76"/>
      <c r="AO54" s="76"/>
      <c r="AP54" s="76"/>
      <c r="AQ54" s="76"/>
      <c r="AR54" s="76"/>
    </row>
    <row r="55" spans="1:44" s="75" customFormat="1" ht="104.25" customHeight="1" x14ac:dyDescent="0.25">
      <c r="A55" s="70"/>
      <c r="B55" s="70"/>
      <c r="C55" s="71"/>
      <c r="D55" s="77"/>
      <c r="E55" s="77"/>
      <c r="F55" s="27"/>
      <c r="G55" s="481" t="s">
        <v>140</v>
      </c>
      <c r="H55" s="481"/>
      <c r="I55" s="481" t="s">
        <v>144</v>
      </c>
      <c r="J55" s="481"/>
      <c r="K55" s="484" t="s">
        <v>145</v>
      </c>
      <c r="L55" s="485"/>
      <c r="M55" s="481" t="s">
        <v>128</v>
      </c>
      <c r="N55" s="481"/>
      <c r="O55" s="70"/>
      <c r="P55" s="70"/>
      <c r="Q55" s="27"/>
      <c r="R55" s="27"/>
      <c r="S55" s="27"/>
      <c r="T55" s="27"/>
      <c r="U55" s="27"/>
      <c r="V55" s="27"/>
      <c r="W55" s="27"/>
      <c r="X55" s="27"/>
      <c r="Y55" s="27"/>
      <c r="Z55" s="27"/>
      <c r="AA55" s="27"/>
      <c r="AB55" s="27"/>
      <c r="AC55" s="27"/>
      <c r="AD55" s="27"/>
      <c r="AE55" s="27"/>
      <c r="AF55" s="27"/>
      <c r="AG55" s="27"/>
      <c r="AH55" s="27"/>
      <c r="AI55" s="27"/>
      <c r="AJ55" s="76"/>
      <c r="AN55" s="76"/>
      <c r="AO55" s="76"/>
      <c r="AP55" s="76"/>
      <c r="AQ55" s="76"/>
      <c r="AR55" s="76"/>
    </row>
    <row r="56" spans="1:44" s="75" customFormat="1" x14ac:dyDescent="0.25">
      <c r="A56" s="70"/>
      <c r="B56" s="70"/>
      <c r="C56" s="71"/>
      <c r="D56" s="77"/>
      <c r="E56" s="77"/>
      <c r="F56" s="27"/>
      <c r="G56" s="279">
        <v>991</v>
      </c>
      <c r="H56" s="279">
        <v>992</v>
      </c>
      <c r="I56" s="279">
        <v>991</v>
      </c>
      <c r="J56" s="279">
        <v>992</v>
      </c>
      <c r="K56" s="279">
        <v>991</v>
      </c>
      <c r="L56" s="279">
        <v>992</v>
      </c>
      <c r="M56" s="279">
        <v>991</v>
      </c>
      <c r="N56" s="279">
        <v>992</v>
      </c>
      <c r="O56" s="79"/>
      <c r="P56" s="79"/>
      <c r="Q56" s="27"/>
      <c r="R56" s="27"/>
      <c r="S56" s="27"/>
      <c r="T56" s="27"/>
      <c r="U56" s="27"/>
      <c r="V56" s="27"/>
      <c r="W56" s="27"/>
      <c r="X56" s="27"/>
      <c r="Y56" s="27"/>
      <c r="Z56" s="27"/>
      <c r="AA56" s="27"/>
      <c r="AB56" s="27"/>
      <c r="AC56" s="27"/>
      <c r="AD56" s="27"/>
      <c r="AE56" s="27"/>
      <c r="AF56" s="27"/>
      <c r="AG56" s="27"/>
      <c r="AH56" s="27"/>
      <c r="AI56" s="27"/>
      <c r="AJ56" s="76"/>
      <c r="AN56" s="76"/>
      <c r="AO56" s="76"/>
      <c r="AP56" s="76"/>
      <c r="AQ56" s="76"/>
      <c r="AR56" s="76"/>
    </row>
    <row r="57" spans="1:44" s="75" customFormat="1" x14ac:dyDescent="0.25">
      <c r="A57" s="70"/>
      <c r="B57" s="70"/>
      <c r="C57" s="71"/>
      <c r="D57" s="77"/>
      <c r="E57" s="77"/>
      <c r="F57" s="27"/>
      <c r="G57" s="29">
        <v>46179.199999999997</v>
      </c>
      <c r="H57" s="29">
        <v>13446.9</v>
      </c>
      <c r="I57" s="29">
        <f>245.4+176.6+93.6+162.7</f>
        <v>678.3</v>
      </c>
      <c r="J57" s="29">
        <f>74.1+53.3+28.3+49.1</f>
        <v>204.8</v>
      </c>
      <c r="K57" s="29">
        <f>V52</f>
        <v>45500.9</v>
      </c>
      <c r="L57" s="29">
        <f>W52</f>
        <v>13348.7</v>
      </c>
      <c r="M57" s="29">
        <f>G57-I57-K57</f>
        <v>0</v>
      </c>
      <c r="N57" s="29">
        <f>H57-J57-L57</f>
        <v>-106.6</v>
      </c>
      <c r="O57" s="80"/>
      <c r="P57" s="80"/>
      <c r="Q57" s="27"/>
      <c r="R57" s="27"/>
      <c r="S57" s="27"/>
      <c r="T57" s="27"/>
      <c r="U57" s="27"/>
      <c r="V57" s="27"/>
      <c r="W57" s="27"/>
      <c r="X57" s="27"/>
      <c r="Y57" s="27"/>
      <c r="Z57" s="27"/>
      <c r="AA57" s="27"/>
      <c r="AB57" s="27"/>
      <c r="AC57" s="27"/>
      <c r="AD57" s="27"/>
      <c r="AE57" s="27"/>
      <c r="AF57" s="27"/>
      <c r="AG57" s="27"/>
      <c r="AH57" s="27"/>
      <c r="AI57" s="27"/>
      <c r="AJ57" s="76"/>
      <c r="AN57" s="76"/>
      <c r="AO57" s="76"/>
      <c r="AP57" s="76"/>
      <c r="AQ57" s="76"/>
      <c r="AR57" s="76"/>
    </row>
    <row r="58" spans="1:44" s="75" customFormat="1" x14ac:dyDescent="0.25">
      <c r="A58" s="70"/>
      <c r="B58" s="70"/>
      <c r="C58" s="71"/>
      <c r="D58" s="77"/>
      <c r="E58" s="77"/>
      <c r="F58" s="27"/>
      <c r="G58" s="27"/>
      <c r="H58" s="73"/>
      <c r="I58" s="73"/>
      <c r="J58" s="27"/>
      <c r="K58" s="27"/>
      <c r="L58" s="27"/>
      <c r="M58" s="27"/>
      <c r="N58" s="74"/>
      <c r="O58" s="27"/>
      <c r="P58" s="27"/>
      <c r="Q58" s="27"/>
      <c r="R58" s="27"/>
      <c r="S58" s="27"/>
      <c r="T58" s="27"/>
      <c r="U58" s="27"/>
      <c r="V58" s="27"/>
      <c r="W58" s="27"/>
      <c r="X58" s="27"/>
      <c r="Y58" s="27"/>
      <c r="Z58" s="27"/>
      <c r="AA58" s="27"/>
      <c r="AB58" s="27"/>
      <c r="AC58" s="27"/>
      <c r="AD58" s="27"/>
      <c r="AE58" s="27"/>
      <c r="AF58" s="27"/>
      <c r="AG58" s="27"/>
      <c r="AH58" s="76"/>
      <c r="AM58" s="76"/>
      <c r="AN58" s="211"/>
      <c r="AO58" s="211"/>
      <c r="AP58" s="211"/>
      <c r="AQ58" s="211"/>
    </row>
    <row r="59" spans="1:44" s="282" customFormat="1" ht="21" x14ac:dyDescent="0.25">
      <c r="A59" s="81"/>
      <c r="B59" s="82" t="s">
        <v>138</v>
      </c>
      <c r="C59" s="83"/>
      <c r="D59" s="84"/>
      <c r="E59" s="84"/>
      <c r="F59" s="85"/>
      <c r="G59" s="85"/>
      <c r="H59" s="86"/>
      <c r="I59" s="86"/>
      <c r="J59" s="85"/>
      <c r="K59" s="30" t="s">
        <v>167</v>
      </c>
      <c r="L59" s="85"/>
      <c r="M59" s="85"/>
      <c r="N59" s="87"/>
      <c r="O59" s="85"/>
      <c r="P59" s="85"/>
      <c r="Q59" s="85"/>
      <c r="R59" s="85"/>
      <c r="S59" s="85"/>
      <c r="T59" s="85"/>
      <c r="U59" s="85"/>
      <c r="V59" s="85"/>
      <c r="W59" s="85"/>
      <c r="X59" s="85"/>
      <c r="Y59" s="85"/>
      <c r="Z59" s="85"/>
      <c r="AA59" s="85"/>
      <c r="AB59" s="85"/>
      <c r="AC59" s="85"/>
      <c r="AD59" s="85"/>
      <c r="AE59" s="85"/>
      <c r="AF59" s="85"/>
      <c r="AG59" s="85"/>
      <c r="AH59" s="85"/>
      <c r="AI59" s="85"/>
      <c r="AK59" s="88"/>
      <c r="AL59" s="88"/>
      <c r="AM59" s="88"/>
      <c r="AN59" s="88"/>
      <c r="AO59" s="88"/>
    </row>
    <row r="60" spans="1:44" s="75" customFormat="1" x14ac:dyDescent="0.25">
      <c r="A60" s="70"/>
      <c r="B60" s="70"/>
      <c r="C60" s="71"/>
      <c r="D60" s="77"/>
      <c r="E60" s="77"/>
      <c r="F60" s="27"/>
      <c r="G60" s="27"/>
      <c r="H60" s="73"/>
      <c r="I60" s="73"/>
      <c r="J60" s="27"/>
      <c r="K60" s="27"/>
      <c r="L60" s="27"/>
      <c r="M60" s="27"/>
      <c r="N60" s="74"/>
      <c r="O60" s="27"/>
      <c r="P60" s="27"/>
      <c r="Q60" s="27"/>
      <c r="R60" s="27"/>
      <c r="S60" s="27"/>
      <c r="T60" s="27"/>
      <c r="U60" s="27"/>
      <c r="V60" s="27"/>
      <c r="W60" s="27"/>
      <c r="X60" s="27"/>
      <c r="Y60" s="27"/>
      <c r="Z60" s="27"/>
      <c r="AA60" s="27"/>
      <c r="AB60" s="27"/>
      <c r="AC60" s="27"/>
      <c r="AD60" s="27"/>
      <c r="AE60" s="27"/>
      <c r="AF60" s="27"/>
      <c r="AG60" s="27"/>
      <c r="AH60" s="76"/>
      <c r="AM60" s="76"/>
      <c r="AN60" s="211"/>
      <c r="AO60" s="211"/>
      <c r="AP60" s="211"/>
      <c r="AQ60" s="211"/>
    </row>
    <row r="61" spans="1:44" s="75" customFormat="1" ht="20.25" customHeight="1" x14ac:dyDescent="0.25">
      <c r="A61" s="89" t="s">
        <v>96</v>
      </c>
      <c r="B61" s="89"/>
      <c r="C61" s="31"/>
      <c r="D61" s="31"/>
      <c r="E61" s="31"/>
      <c r="F61" s="31"/>
      <c r="G61" s="31"/>
      <c r="H61" s="31"/>
      <c r="I61" s="31"/>
      <c r="J61" s="31"/>
      <c r="K61" s="31"/>
      <c r="L61" s="90"/>
      <c r="M61" s="90"/>
      <c r="N61" s="91"/>
      <c r="O61" s="90"/>
      <c r="P61" s="90"/>
      <c r="Q61" s="90"/>
      <c r="R61" s="90"/>
      <c r="S61" s="90"/>
      <c r="T61" s="90"/>
      <c r="U61" s="90"/>
      <c r="V61" s="90"/>
      <c r="W61" s="90"/>
      <c r="X61" s="90"/>
      <c r="Y61" s="90"/>
      <c r="Z61" s="90"/>
      <c r="AA61" s="90"/>
      <c r="AB61" s="90"/>
      <c r="AC61" s="90"/>
      <c r="AD61" s="90"/>
      <c r="AE61" s="90"/>
      <c r="AF61" s="90"/>
      <c r="AG61" s="90"/>
      <c r="AH61" s="76"/>
      <c r="AM61" s="76"/>
      <c r="AN61" s="211"/>
      <c r="AO61" s="211"/>
      <c r="AP61" s="211"/>
      <c r="AQ61" s="211"/>
    </row>
    <row r="62" spans="1:44" s="75" customFormat="1" ht="20.25" customHeight="1" x14ac:dyDescent="0.25">
      <c r="A62" s="89" t="s">
        <v>139</v>
      </c>
      <c r="B62" s="92"/>
      <c r="C62" s="93"/>
      <c r="D62" s="93"/>
      <c r="E62" s="32"/>
      <c r="F62" s="32"/>
      <c r="G62" s="32"/>
      <c r="H62" s="32"/>
      <c r="I62" s="32"/>
      <c r="J62" s="32"/>
      <c r="K62" s="32"/>
      <c r="L62" s="90"/>
      <c r="M62" s="90"/>
      <c r="N62" s="90"/>
      <c r="O62" s="90"/>
      <c r="P62" s="90"/>
      <c r="Q62" s="90"/>
      <c r="R62" s="90"/>
      <c r="S62" s="90"/>
      <c r="T62" s="90"/>
      <c r="U62" s="90"/>
      <c r="V62" s="90"/>
      <c r="W62" s="90"/>
      <c r="X62" s="90"/>
      <c r="Y62" s="90"/>
      <c r="Z62" s="90"/>
      <c r="AA62" s="90"/>
      <c r="AB62" s="90"/>
      <c r="AC62" s="90"/>
      <c r="AD62" s="90"/>
      <c r="AE62" s="90"/>
      <c r="AF62" s="90"/>
      <c r="AG62" s="90"/>
      <c r="AH62" s="76"/>
      <c r="AM62" s="76"/>
      <c r="AN62" s="211"/>
      <c r="AO62" s="211"/>
      <c r="AP62" s="211"/>
      <c r="AQ62" s="211"/>
    </row>
    <row r="64" spans="1:44" hidden="1" x14ac:dyDescent="0.25">
      <c r="A64" s="278"/>
      <c r="B64" s="233" t="s">
        <v>121</v>
      </c>
      <c r="C64" s="233">
        <f t="shared" ref="C64:W64" si="51">C9+C10+C12</f>
        <v>3</v>
      </c>
      <c r="D64" s="233">
        <f t="shared" si="51"/>
        <v>61.43</v>
      </c>
      <c r="E64" s="183">
        <f t="shared" si="51"/>
        <v>61.44</v>
      </c>
      <c r="F64" s="233">
        <f t="shared" si="51"/>
        <v>737.2</v>
      </c>
      <c r="G64" s="233">
        <f t="shared" si="51"/>
        <v>0</v>
      </c>
      <c r="H64" s="233">
        <f t="shared" si="51"/>
        <v>8.6999999999999993</v>
      </c>
      <c r="I64" s="233">
        <f t="shared" si="51"/>
        <v>0</v>
      </c>
      <c r="J64" s="233">
        <f t="shared" si="51"/>
        <v>0</v>
      </c>
      <c r="K64" s="233">
        <f t="shared" si="51"/>
        <v>208.9</v>
      </c>
      <c r="L64" s="233">
        <f t="shared" si="51"/>
        <v>249.5</v>
      </c>
      <c r="M64" s="233">
        <f t="shared" si="51"/>
        <v>1204.3</v>
      </c>
      <c r="N64" s="233">
        <f t="shared" si="51"/>
        <v>1.92</v>
      </c>
      <c r="O64" s="233">
        <f t="shared" si="51"/>
        <v>838.4</v>
      </c>
      <c r="P64" s="233">
        <f t="shared" si="51"/>
        <v>2042.7</v>
      </c>
      <c r="Q64" s="233">
        <f t="shared" si="51"/>
        <v>1634.1</v>
      </c>
      <c r="R64" s="233">
        <f t="shared" si="51"/>
        <v>1634.1</v>
      </c>
      <c r="S64" s="233">
        <f t="shared" si="51"/>
        <v>170</v>
      </c>
      <c r="T64" s="233">
        <f t="shared" si="51"/>
        <v>5480.9</v>
      </c>
      <c r="U64" s="233">
        <f t="shared" si="51"/>
        <v>1</v>
      </c>
      <c r="V64" s="233">
        <f t="shared" si="51"/>
        <v>5480.9</v>
      </c>
      <c r="W64" s="233">
        <f t="shared" si="51"/>
        <v>1328</v>
      </c>
      <c r="X64" s="234">
        <f>V64+W64</f>
        <v>6808.9</v>
      </c>
    </row>
    <row r="65" spans="1:26" hidden="1" x14ac:dyDescent="0.25">
      <c r="A65" s="278"/>
      <c r="B65" s="233" t="s">
        <v>122</v>
      </c>
      <c r="C65" s="233" t="e">
        <f>C13+C14+#REF!+C15+C16+C17+C19+C20+C21+C22+C23+C24+C25+C26+C27+C28+C29+C30+C31+C32+C33+C34+C35+C36+C38+#REF!+C39+C40+C41</f>
        <v>#REF!</v>
      </c>
      <c r="D65" s="233" t="e">
        <f>D13+D14+#REF!+D15+D16+D17+D19+D20+D21+D22+D23+D24+D25+D26+D27+D28+D29+D30+D31+D32+D33+D34+D35+D36+D38+#REF!+D39+D40+D41</f>
        <v>#REF!</v>
      </c>
      <c r="E65" s="183" t="e">
        <f>E13+E14+#REF!+E15+E16+E17+E19+E20+E21+E22+E23+E24+E25+E26+E27+E28+E29+E30+E31+E32+E33+E34+E35+E36+E38+#REF!+E39+E40+E41</f>
        <v>#REF!</v>
      </c>
      <c r="F65" s="233" t="e">
        <f>F13+F14+#REF!+F15+F16+F17+F19+F20+F21+F22+F23+F24+F25+F26+F27+F28+F29+F30+F31+F32+F33+F34+F35+F36+F38+#REF!+F39+F40+F41</f>
        <v>#REF!</v>
      </c>
      <c r="G65" s="233" t="e">
        <f>G13+G14+#REF!+G15+G16+G17+G19+G20+G21+G22+G23+G24+G25+G26+G27+G28+G29+G30+G31+G32+G33+G34+G35+G36+G38+#REF!+G39+G40+G41</f>
        <v>#REF!</v>
      </c>
      <c r="H65" s="233" t="e">
        <f>H13+H14+#REF!+H15+H16+H17+H19+H20+H21+H22+H23+H24+H25+H26+H27+H28+H29+H30+H31+H32+H33+H34+H35+H36+H38+#REF!+H39+H40+H41</f>
        <v>#REF!</v>
      </c>
      <c r="I65" s="233" t="e">
        <f>I13+I14+#REF!+I15+I16+I17+I19+I20+I21+I22+I23+I24+I25+I26+I27+I28+I29+I30+I31+I32+I33+I34+I35+I36+I38+#REF!+I39+I40+I41</f>
        <v>#REF!</v>
      </c>
      <c r="J65" s="233" t="e">
        <f>J13+J14+#REF!+J15+J16+J17+J19+J20+J21+J22+J23+J24+J25+J26+J27+J28+J29+J30+J31+J32+J33+J34+J35+J36+J38+#REF!+J39+J40+J41</f>
        <v>#REF!</v>
      </c>
      <c r="K65" s="233" t="e">
        <f>K13+K14+#REF!+K15+K16+K17+K19+K20+K21+K22+K23+K24+K25+K26+K27+K28+K29+K30+K31+K32+K33+K34+K35+K36+K38+#REF!+K39+K40+K41</f>
        <v>#REF!</v>
      </c>
      <c r="L65" s="233" t="e">
        <f>L13+L14+#REF!+L15+L16+L17+L19+L20+L21+L22+L23+L24+L25+L26+L27+L28+L29+L30+L31+L32+L33+L34+L35+L36+L38+#REF!+L39+L40+L41</f>
        <v>#REF!</v>
      </c>
      <c r="M65" s="233" t="e">
        <f>M13+M14+#REF!+M15+M16+M17+M19+M20+M21+M22+M23+M24+M25+M26+M27+M28+M29+M30+M31+M32+M33+M34+M35+M36+M38+#REF!+M39+M40+M41</f>
        <v>#REF!</v>
      </c>
      <c r="N65" s="233" t="e">
        <f>N13+N14+#REF!+N15+N16+N17+N19+N20+N21+N22+N23+N24+N25+N26+N27+N28+N29+N30+N31+N32+N33+N34+N35+N36+N38+#REF!+N39+N40+N41</f>
        <v>#REF!</v>
      </c>
      <c r="O65" s="233" t="e">
        <f>O13+O14+#REF!+O15+O16+O17+O19+O20+O21+O22+O23+O24+O25+O26+O27+O28+O29+O30+O31+O32+O33+O34+O35+O36+O38+#REF!+O39+O40+O41</f>
        <v>#REF!</v>
      </c>
      <c r="P65" s="233" t="e">
        <f>P13+P14+#REF!+P15+P16+P17+P19+P20+P21+P22+P23+P24+P25+P26+P27+P28+P29+P30+P31+P32+P33+P34+P35+P36+P38+#REF!+P39+P40+P41</f>
        <v>#REF!</v>
      </c>
      <c r="Q65" s="233" t="e">
        <f>Q13+Q14+#REF!+Q15+Q16+Q17+Q19+Q20+Q21+Q22+Q23+Q24+Q25+Q26+Q27+Q28+Q29+Q30+Q31+Q32+Q33+Q34+Q35+Q36+Q38+#REF!+Q39+Q40+Q41</f>
        <v>#REF!</v>
      </c>
      <c r="R65" s="233" t="e">
        <f>R13+R14+#REF!+R15+R16+R17+R19+R20+R21+R22+R23+R24+R25+R26+R27+R28+R29+R30+R31+R32+R33+R34+R35+R36+R38+#REF!+R39+R40+R41</f>
        <v>#REF!</v>
      </c>
      <c r="S65" s="233" t="e">
        <f>S13+S14+#REF!+S15+S16+S17+S19+S20+S21+S22+S23+S24+S25+S26+S27+S28+S29+S30+S31+S32+S33+S34+S35+S36+S38+#REF!+S39+S40+S41</f>
        <v>#REF!</v>
      </c>
      <c r="T65" s="233" t="e">
        <f>T13+T14+#REF!+T15+T16+T17+T19+T20+T21+T22+T23+T24+T25+T26+T27+T28+T29+T30+T31+T32+T33+T34+T35+T36+T38+#REF!+T39+T40+T41</f>
        <v>#REF!</v>
      </c>
      <c r="U65" s="233" t="e">
        <f>U13+U14+#REF!+U15+U16+U17+U19+U20+U21+U22+U23+U24+U25+U26+U27+U28+U29+U30+U31+U32+U33+U34+U35+U36+U38+#REF!+U39+U40+U41</f>
        <v>#REF!</v>
      </c>
      <c r="V65" s="233" t="e">
        <f>V13+V14+#REF!+V15+V16+V17+V19+V20+V21+V22+V23+V24+V25+V26+V27+V28+V29+V30+V31+V32+V33+V34+V35+V36+V38+#REF!+V39+V40+V41</f>
        <v>#REF!</v>
      </c>
      <c r="W65" s="233" t="e">
        <f>W13+W14+#REF!+W15+W16+W17+W19+W20+W21+W22+W23+W24+W25+W26+W27+W28+W29+W30+W31+W32+W33+W34+W35+W36+W38+#REF!+W39+W40+W41</f>
        <v>#REF!</v>
      </c>
      <c r="X65" s="234" t="e">
        <f>V65+W65</f>
        <v>#REF!</v>
      </c>
    </row>
    <row r="66" spans="1:26" hidden="1" x14ac:dyDescent="0.25">
      <c r="A66" s="278"/>
      <c r="B66" s="233" t="s">
        <v>123</v>
      </c>
      <c r="C66" s="233" t="e">
        <f>C11+C18+#REF!</f>
        <v>#REF!</v>
      </c>
      <c r="D66" s="233" t="e">
        <f>D11+D18+#REF!</f>
        <v>#REF!</v>
      </c>
      <c r="E66" s="183" t="e">
        <f>E11+E18+#REF!</f>
        <v>#REF!</v>
      </c>
      <c r="F66" s="233" t="e">
        <f>F11+F18+#REF!</f>
        <v>#REF!</v>
      </c>
      <c r="G66" s="233" t="e">
        <f>G11+G18+#REF!</f>
        <v>#REF!</v>
      </c>
      <c r="H66" s="233" t="e">
        <f>H11+H18+#REF!</f>
        <v>#REF!</v>
      </c>
      <c r="I66" s="233" t="e">
        <f>I11+I18+#REF!</f>
        <v>#REF!</v>
      </c>
      <c r="J66" s="233" t="e">
        <f>J11+J18+#REF!</f>
        <v>#REF!</v>
      </c>
      <c r="K66" s="233" t="e">
        <f>K11+K18+#REF!</f>
        <v>#REF!</v>
      </c>
      <c r="L66" s="233" t="e">
        <f>L11+L18+#REF!</f>
        <v>#REF!</v>
      </c>
      <c r="M66" s="233" t="e">
        <f>M11+M18+#REF!</f>
        <v>#REF!</v>
      </c>
      <c r="N66" s="233" t="e">
        <f>N11+N18+#REF!</f>
        <v>#REF!</v>
      </c>
      <c r="O66" s="233" t="e">
        <f>O11+O18+#REF!</f>
        <v>#REF!</v>
      </c>
      <c r="P66" s="233" t="e">
        <f>P11+P18+#REF!</f>
        <v>#REF!</v>
      </c>
      <c r="Q66" s="233" t="e">
        <f>Q11+Q18+#REF!</f>
        <v>#REF!</v>
      </c>
      <c r="R66" s="233" t="e">
        <f>R11+R18+#REF!</f>
        <v>#REF!</v>
      </c>
      <c r="S66" s="233" t="e">
        <f>S11+S18+#REF!</f>
        <v>#REF!</v>
      </c>
      <c r="T66" s="233" t="e">
        <f>T11+T18+#REF!</f>
        <v>#REF!</v>
      </c>
      <c r="U66" s="233" t="e">
        <f>U11+U18+#REF!</f>
        <v>#REF!</v>
      </c>
      <c r="V66" s="233" t="e">
        <f>V11+V18+#REF!</f>
        <v>#REF!</v>
      </c>
      <c r="W66" s="233" t="e">
        <f>W11+W18+#REF!</f>
        <v>#REF!</v>
      </c>
      <c r="X66" s="234" t="e">
        <f>V66+W66</f>
        <v>#REF!</v>
      </c>
    </row>
    <row r="67" spans="1:26" hidden="1" x14ac:dyDescent="0.25">
      <c r="A67" s="278"/>
      <c r="B67" s="233"/>
      <c r="C67" s="233" t="e">
        <f>C64+C65+C66</f>
        <v>#REF!</v>
      </c>
      <c r="D67" s="233" t="e">
        <f t="shared" ref="D67:W67" si="52">D64+D65+D66</f>
        <v>#REF!</v>
      </c>
      <c r="E67" s="183" t="e">
        <f t="shared" si="52"/>
        <v>#REF!</v>
      </c>
      <c r="F67" s="233" t="e">
        <f t="shared" si="52"/>
        <v>#REF!</v>
      </c>
      <c r="G67" s="233" t="e">
        <f t="shared" si="52"/>
        <v>#REF!</v>
      </c>
      <c r="H67" s="233" t="e">
        <f t="shared" si="52"/>
        <v>#REF!</v>
      </c>
      <c r="I67" s="233" t="e">
        <f t="shared" si="52"/>
        <v>#REF!</v>
      </c>
      <c r="J67" s="233" t="e">
        <f t="shared" si="52"/>
        <v>#REF!</v>
      </c>
      <c r="K67" s="233" t="e">
        <f t="shared" si="52"/>
        <v>#REF!</v>
      </c>
      <c r="L67" s="233" t="e">
        <f t="shared" si="52"/>
        <v>#REF!</v>
      </c>
      <c r="M67" s="233" t="e">
        <f t="shared" si="52"/>
        <v>#REF!</v>
      </c>
      <c r="N67" s="233" t="e">
        <f t="shared" si="52"/>
        <v>#REF!</v>
      </c>
      <c r="O67" s="233" t="e">
        <f t="shared" si="52"/>
        <v>#REF!</v>
      </c>
      <c r="P67" s="233" t="e">
        <f t="shared" si="52"/>
        <v>#REF!</v>
      </c>
      <c r="Q67" s="233" t="e">
        <f t="shared" si="52"/>
        <v>#REF!</v>
      </c>
      <c r="R67" s="233" t="e">
        <f t="shared" si="52"/>
        <v>#REF!</v>
      </c>
      <c r="S67" s="233" t="e">
        <f t="shared" si="52"/>
        <v>#REF!</v>
      </c>
      <c r="T67" s="233" t="e">
        <f t="shared" si="52"/>
        <v>#REF!</v>
      </c>
      <c r="U67" s="233" t="e">
        <f t="shared" si="52"/>
        <v>#REF!</v>
      </c>
      <c r="V67" s="233" t="e">
        <f t="shared" si="52"/>
        <v>#REF!</v>
      </c>
      <c r="W67" s="233" t="e">
        <f t="shared" si="52"/>
        <v>#REF!</v>
      </c>
      <c r="X67" s="234" t="e">
        <f>V67+W67</f>
        <v>#REF!</v>
      </c>
      <c r="Y67" s="22" t="e">
        <f>V67+#REF!</f>
        <v>#REF!</v>
      </c>
      <c r="Z67" s="22" t="e">
        <f>W67+#REF!</f>
        <v>#REF!</v>
      </c>
    </row>
    <row r="68" spans="1:26" hidden="1" x14ac:dyDescent="0.25">
      <c r="A68" s="278"/>
      <c r="B68" s="233"/>
      <c r="C68" s="233"/>
      <c r="D68" s="233"/>
      <c r="E68" s="183"/>
      <c r="F68" s="233"/>
      <c r="G68" s="233"/>
      <c r="H68" s="233"/>
      <c r="I68" s="233"/>
      <c r="J68" s="233"/>
      <c r="K68" s="233"/>
      <c r="L68" s="233"/>
      <c r="M68" s="233"/>
      <c r="N68" s="233"/>
      <c r="O68" s="233"/>
      <c r="P68" s="233"/>
      <c r="Q68" s="233"/>
      <c r="R68" s="233"/>
      <c r="S68" s="233"/>
      <c r="T68" s="233"/>
      <c r="U68" s="233"/>
      <c r="V68" s="233"/>
      <c r="W68" s="233"/>
      <c r="X68" s="233"/>
    </row>
    <row r="69" spans="1:26" hidden="1" x14ac:dyDescent="0.25">
      <c r="E69" s="51"/>
    </row>
    <row r="70" spans="1:26" hidden="1" x14ac:dyDescent="0.25">
      <c r="E70" s="51"/>
    </row>
    <row r="71" spans="1:26" hidden="1" x14ac:dyDescent="0.25">
      <c r="E71" s="51"/>
    </row>
    <row r="72" spans="1:26" hidden="1" x14ac:dyDescent="0.25">
      <c r="E72" s="51"/>
    </row>
    <row r="73" spans="1:26" hidden="1" x14ac:dyDescent="0.25">
      <c r="E73" s="51"/>
    </row>
    <row r="74" spans="1:26" hidden="1" x14ac:dyDescent="0.25">
      <c r="E74" s="51"/>
    </row>
    <row r="75" spans="1:26" hidden="1" x14ac:dyDescent="0.25">
      <c r="E75" s="51"/>
    </row>
    <row r="76" spans="1:26" x14ac:dyDescent="0.25">
      <c r="E76" s="51"/>
    </row>
    <row r="77" spans="1:26" x14ac:dyDescent="0.25">
      <c r="E77" s="51"/>
    </row>
    <row r="78" spans="1:26" x14ac:dyDescent="0.25">
      <c r="E78" s="51"/>
    </row>
    <row r="79" spans="1:26" x14ac:dyDescent="0.25">
      <c r="E79" s="51"/>
    </row>
    <row r="80" spans="1:26" x14ac:dyDescent="0.25">
      <c r="E80" s="51"/>
    </row>
    <row r="81" spans="5:5" x14ac:dyDescent="0.25">
      <c r="E81" s="51"/>
    </row>
    <row r="82" spans="5:5" x14ac:dyDescent="0.25">
      <c r="E82" s="51"/>
    </row>
    <row r="83" spans="5:5" x14ac:dyDescent="0.25">
      <c r="E83" s="51"/>
    </row>
    <row r="84" spans="5:5" x14ac:dyDescent="0.25">
      <c r="E84" s="51"/>
    </row>
    <row r="85" spans="5:5" x14ac:dyDescent="0.25">
      <c r="E85" s="51"/>
    </row>
    <row r="86" spans="5:5" x14ac:dyDescent="0.25">
      <c r="E86" s="51"/>
    </row>
    <row r="87" spans="5:5" x14ac:dyDescent="0.25">
      <c r="E87" s="51"/>
    </row>
    <row r="88" spans="5:5" x14ac:dyDescent="0.25">
      <c r="E88" s="51"/>
    </row>
    <row r="89" spans="5:5" x14ac:dyDescent="0.25">
      <c r="E89" s="51"/>
    </row>
    <row r="90" spans="5:5" x14ac:dyDescent="0.25">
      <c r="E90" s="51"/>
    </row>
    <row r="91" spans="5:5" x14ac:dyDescent="0.25">
      <c r="E91" s="51"/>
    </row>
    <row r="92" spans="5:5" x14ac:dyDescent="0.25">
      <c r="E92" s="51"/>
    </row>
    <row r="93" spans="5:5" x14ac:dyDescent="0.25">
      <c r="E93" s="51"/>
    </row>
    <row r="94" spans="5:5" x14ac:dyDescent="0.25">
      <c r="E94" s="51"/>
    </row>
    <row r="95" spans="5:5" x14ac:dyDescent="0.25">
      <c r="E95" s="51"/>
    </row>
    <row r="96" spans="5:5" x14ac:dyDescent="0.25">
      <c r="E96" s="51"/>
    </row>
    <row r="97" spans="5:5" x14ac:dyDescent="0.25">
      <c r="E97" s="51"/>
    </row>
    <row r="98" spans="5:5" x14ac:dyDescent="0.25">
      <c r="E98" s="51"/>
    </row>
    <row r="99" spans="5:5" x14ac:dyDescent="0.25">
      <c r="E99" s="51"/>
    </row>
    <row r="100" spans="5:5" x14ac:dyDescent="0.25">
      <c r="E100" s="51"/>
    </row>
    <row r="101" spans="5:5" x14ac:dyDescent="0.25">
      <c r="E101" s="51"/>
    </row>
    <row r="102" spans="5:5" x14ac:dyDescent="0.25">
      <c r="E102" s="51"/>
    </row>
    <row r="103" spans="5:5" x14ac:dyDescent="0.25">
      <c r="E103" s="51"/>
    </row>
    <row r="104" spans="5:5" x14ac:dyDescent="0.25">
      <c r="E104" s="51"/>
    </row>
    <row r="105" spans="5:5" x14ac:dyDescent="0.25">
      <c r="E105" s="51"/>
    </row>
  </sheetData>
  <autoFilter ref="A8:AS57"/>
  <mergeCells count="38">
    <mergeCell ref="AE1:AH1"/>
    <mergeCell ref="A2:AH2"/>
    <mergeCell ref="A3:AH3"/>
    <mergeCell ref="A5:A7"/>
    <mergeCell ref="B5:B7"/>
    <mergeCell ref="C5:C7"/>
    <mergeCell ref="D5:W5"/>
    <mergeCell ref="X5:AH5"/>
    <mergeCell ref="D6:D7"/>
    <mergeCell ref="E6:E7"/>
    <mergeCell ref="AA6:AC6"/>
    <mergeCell ref="AG6:AG7"/>
    <mergeCell ref="AH6:AH7"/>
    <mergeCell ref="V6:V7"/>
    <mergeCell ref="W6:W7"/>
    <mergeCell ref="X6:Z6"/>
    <mergeCell ref="A52:B52"/>
    <mergeCell ref="S6:S7"/>
    <mergeCell ref="T6:T7"/>
    <mergeCell ref="U6:U7"/>
    <mergeCell ref="F6:F7"/>
    <mergeCell ref="G6:G7"/>
    <mergeCell ref="H6:H7"/>
    <mergeCell ref="I6:I7"/>
    <mergeCell ref="J6:J7"/>
    <mergeCell ref="L6:L7"/>
    <mergeCell ref="M6:M7"/>
    <mergeCell ref="N6:O6"/>
    <mergeCell ref="P6:P7"/>
    <mergeCell ref="R6:R7"/>
    <mergeCell ref="K6:K7"/>
    <mergeCell ref="AD6:AF6"/>
    <mergeCell ref="Q6:Q7"/>
    <mergeCell ref="G55:H55"/>
    <mergeCell ref="I55:J55"/>
    <mergeCell ref="K55:L55"/>
    <mergeCell ref="M55:N55"/>
    <mergeCell ref="U9:U51"/>
  </mergeCells>
  <printOptions horizontalCentered="1"/>
  <pageMargins left="0" right="0" top="0" bottom="0" header="0.31496062992125984" footer="0.31496062992125984"/>
  <pageSetup paperSize="9" scale="36"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66"/>
  <sheetViews>
    <sheetView view="pageBreakPreview" zoomScale="80" zoomScaleNormal="70" zoomScaleSheetLayoutView="80" workbookViewId="0">
      <pane xSplit="3" ySplit="8" topLeftCell="D18"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9.6640625" style="98" customWidth="1"/>
    <col min="2" max="2" width="30.77734375" style="99" customWidth="1"/>
    <col min="3" max="3" width="13.77734375" style="99" customWidth="1"/>
    <col min="4" max="4" width="13.44140625" style="99" customWidth="1"/>
    <col min="5" max="5" width="13" style="99" customWidth="1"/>
    <col min="6" max="6" width="14.6640625" style="99" customWidth="1"/>
    <col min="7" max="7" width="11.44140625" style="99" customWidth="1"/>
    <col min="8" max="8" width="11.6640625" style="99" customWidth="1"/>
    <col min="9" max="9" width="11.33203125" style="99" customWidth="1"/>
    <col min="10" max="10" width="16" style="99" customWidth="1"/>
    <col min="11" max="11" width="13.109375" style="99" customWidth="1"/>
    <col min="12" max="17" width="11.44140625" style="99" customWidth="1"/>
    <col min="18" max="18" width="11.6640625" style="99" customWidth="1"/>
    <col min="19" max="19" width="14.6640625" style="99" customWidth="1"/>
    <col min="20" max="20" width="12.33203125" style="99" customWidth="1"/>
    <col min="21" max="21" width="11.6640625" style="99" customWidth="1"/>
    <col min="22" max="22" width="13.77734375" style="99" customWidth="1"/>
    <col min="23" max="23" width="13" style="99" customWidth="1"/>
    <col min="24" max="24" width="11" style="99" customWidth="1"/>
    <col min="25" max="25" width="12.109375" style="99" customWidth="1"/>
    <col min="26" max="26" width="9.6640625" style="99" customWidth="1"/>
    <col min="27" max="27" width="8.44140625" style="99" customWidth="1"/>
    <col min="28" max="28" width="9.109375" style="99" customWidth="1"/>
    <col min="29" max="29" width="9" style="99" customWidth="1"/>
    <col min="30" max="30" width="8.44140625" style="99" customWidth="1"/>
    <col min="31" max="31" width="9.109375" style="99" customWidth="1"/>
    <col min="32" max="32" width="10" style="99" customWidth="1"/>
    <col min="33" max="33" width="9.33203125" style="99" customWidth="1"/>
    <col min="34" max="34" width="10.6640625" style="99" customWidth="1"/>
    <col min="35" max="35" width="11.109375" style="99" customWidth="1"/>
    <col min="36" max="36" width="9.33203125" style="99"/>
    <col min="37" max="37" width="10.6640625" style="99" bestFit="1" customWidth="1"/>
    <col min="38" max="38" width="9.33203125" style="99" hidden="1" customWidth="1"/>
    <col min="39" max="39" width="13" style="99" hidden="1" customWidth="1"/>
    <col min="40" max="40" width="14.109375" style="211" bestFit="1" customWidth="1"/>
    <col min="41" max="42" width="9.33203125" style="211"/>
    <col min="43" max="43" width="11.33203125" style="211" bestFit="1" customWidth="1"/>
    <col min="44" max="16384" width="9.33203125" style="99"/>
  </cols>
  <sheetData>
    <row r="1" spans="1:45" ht="23.25" customHeight="1" x14ac:dyDescent="0.25">
      <c r="AE1" s="499"/>
      <c r="AF1" s="499"/>
      <c r="AG1" s="499"/>
      <c r="AH1" s="499"/>
    </row>
    <row r="2" spans="1:45" ht="24" customHeight="1" x14ac:dyDescent="0.25">
      <c r="A2" s="500" t="s">
        <v>162</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235"/>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287"/>
    </row>
    <row r="4" spans="1:45" x14ac:dyDescent="0.25">
      <c r="L4" s="38">
        <v>0.15451000000000001</v>
      </c>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68</v>
      </c>
      <c r="E6" s="492" t="s">
        <v>69</v>
      </c>
      <c r="F6" s="492" t="s">
        <v>89</v>
      </c>
      <c r="G6" s="492" t="s">
        <v>1</v>
      </c>
      <c r="H6" s="492" t="s">
        <v>2</v>
      </c>
      <c r="I6" s="492" t="s">
        <v>70</v>
      </c>
      <c r="J6" s="492" t="s">
        <v>61</v>
      </c>
      <c r="K6" s="492" t="s">
        <v>27</v>
      </c>
      <c r="L6" s="495" t="s">
        <v>65</v>
      </c>
      <c r="M6" s="495" t="s">
        <v>86</v>
      </c>
      <c r="N6" s="496" t="s">
        <v>90</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286" t="s">
        <v>80</v>
      </c>
      <c r="O7" s="286" t="s">
        <v>81</v>
      </c>
      <c r="P7" s="496"/>
      <c r="Q7" s="495"/>
      <c r="R7" s="492"/>
      <c r="S7" s="495" t="s">
        <v>67</v>
      </c>
      <c r="T7" s="492"/>
      <c r="U7" s="492"/>
      <c r="V7" s="492"/>
      <c r="W7" s="492"/>
      <c r="X7" s="285" t="s">
        <v>5</v>
      </c>
      <c r="Y7" s="285" t="s">
        <v>6</v>
      </c>
      <c r="Z7" s="285" t="s">
        <v>74</v>
      </c>
      <c r="AA7" s="285" t="s">
        <v>5</v>
      </c>
      <c r="AB7" s="285" t="s">
        <v>6</v>
      </c>
      <c r="AC7" s="285" t="s">
        <v>75</v>
      </c>
      <c r="AD7" s="285" t="s">
        <v>5</v>
      </c>
      <c r="AE7" s="285" t="s">
        <v>6</v>
      </c>
      <c r="AF7" s="285" t="s">
        <v>76</v>
      </c>
      <c r="AG7" s="493"/>
      <c r="AH7" s="493"/>
      <c r="AK7" s="98" t="s">
        <v>64</v>
      </c>
      <c r="AL7" s="98" t="s">
        <v>62</v>
      </c>
      <c r="AM7" s="98" t="s">
        <v>63</v>
      </c>
    </row>
    <row r="8" spans="1:45" ht="15.75"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25</v>
      </c>
      <c r="Y8" s="284">
        <v>26</v>
      </c>
      <c r="Z8" s="284">
        <v>27</v>
      </c>
      <c r="AA8" s="284">
        <v>28</v>
      </c>
      <c r="AB8" s="284">
        <v>29</v>
      </c>
      <c r="AC8" s="284">
        <v>30</v>
      </c>
      <c r="AD8" s="284">
        <v>31</v>
      </c>
      <c r="AE8" s="284">
        <v>32</v>
      </c>
      <c r="AF8" s="284">
        <v>33</v>
      </c>
      <c r="AG8" s="284">
        <v>34</v>
      </c>
      <c r="AH8" s="284">
        <v>35</v>
      </c>
      <c r="AN8" s="212" t="s">
        <v>116</v>
      </c>
      <c r="AO8" s="212" t="s">
        <v>117</v>
      </c>
      <c r="AP8" s="212" t="s">
        <v>118</v>
      </c>
      <c r="AQ8" s="212" t="s">
        <v>119</v>
      </c>
    </row>
    <row r="9" spans="1:45" ht="16.5" customHeight="1" x14ac:dyDescent="0.25">
      <c r="A9" s="284">
        <v>1</v>
      </c>
      <c r="B9" s="236" t="s">
        <v>14</v>
      </c>
      <c r="C9" s="284">
        <v>1</v>
      </c>
      <c r="D9" s="237">
        <v>25.672999999999998</v>
      </c>
      <c r="E9" s="169">
        <f t="shared" ref="E9:E24" si="0">C9*D9</f>
        <v>25.67</v>
      </c>
      <c r="F9" s="170">
        <f t="shared" ref="F9:F24" si="1">E9*12</f>
        <v>308</v>
      </c>
      <c r="G9" s="95"/>
      <c r="H9" s="95"/>
      <c r="I9" s="95"/>
      <c r="J9" s="95"/>
      <c r="K9" s="95">
        <f>F9*0.3</f>
        <v>92.4</v>
      </c>
      <c r="L9" s="95">
        <f>F9*$L$4</f>
        <v>47.6</v>
      </c>
      <c r="M9" s="95">
        <f t="shared" ref="M9:M24" si="2">F9+G9+H9+I9+J9+K9+L9</f>
        <v>448</v>
      </c>
      <c r="N9" s="111">
        <v>0.42</v>
      </c>
      <c r="O9" s="95">
        <f t="shared" ref="O9:O24" si="3">M9*N9</f>
        <v>188.2</v>
      </c>
      <c r="P9" s="95">
        <f t="shared" ref="P9:P24" si="4">M9+O9</f>
        <v>636.20000000000005</v>
      </c>
      <c r="Q9" s="95">
        <f t="shared" ref="Q9:Q24" si="5">P9*0.8</f>
        <v>509</v>
      </c>
      <c r="R9" s="95">
        <f t="shared" ref="R9:R24" si="6">P9*0.8</f>
        <v>509</v>
      </c>
      <c r="S9" s="95">
        <f t="shared" ref="S9:S24" si="7">(P9+Q9+R9)*0.032</f>
        <v>52.9</v>
      </c>
      <c r="T9" s="95">
        <f t="shared" ref="T9:T24" si="8">P9+Q9+R9+S9</f>
        <v>1707.1</v>
      </c>
      <c r="U9" s="689">
        <v>1</v>
      </c>
      <c r="V9" s="95">
        <f>T9*$U$9</f>
        <v>1707.1</v>
      </c>
      <c r="W9" s="95">
        <f>AQ9</f>
        <v>424.3</v>
      </c>
      <c r="X9" s="284">
        <v>1</v>
      </c>
      <c r="Y9" s="112">
        <v>30</v>
      </c>
      <c r="Z9" s="113">
        <f t="shared" ref="Z9:Z24" si="9">X9*Y9</f>
        <v>30</v>
      </c>
      <c r="AA9" s="284"/>
      <c r="AB9" s="112">
        <v>15</v>
      </c>
      <c r="AC9" s="113">
        <f t="shared" ref="AC9:AC24" si="10">AA9*AB9</f>
        <v>0</v>
      </c>
      <c r="AD9" s="284">
        <v>1</v>
      </c>
      <c r="AE9" s="112">
        <v>30</v>
      </c>
      <c r="AF9" s="113">
        <f t="shared" ref="AF9:AF24" si="11">AD9*AE9</f>
        <v>30</v>
      </c>
      <c r="AG9" s="113">
        <f t="shared" ref="AG9:AG24" si="12">(Z9+AC9+AF9)*1%*30</f>
        <v>18</v>
      </c>
      <c r="AH9" s="113">
        <f t="shared" ref="AH9:AH24" si="13">Z9+AC9+AF9+AG9</f>
        <v>78</v>
      </c>
      <c r="AI9" s="114">
        <f t="shared" ref="AI9:AI17" si="14">V9/12/C9*1000</f>
        <v>142258.29999999999</v>
      </c>
      <c r="AK9" s="114">
        <f t="shared" ref="AK9:AK24" si="15">V9/C9</f>
        <v>1707.1</v>
      </c>
      <c r="AL9" s="114">
        <f>((979*0.302)+((AK9-979)*0.182))</f>
        <v>428.2</v>
      </c>
      <c r="AM9" s="115">
        <f>AL9/AK9</f>
        <v>0.251</v>
      </c>
      <c r="AN9" s="50">
        <f>1150*0.22+(AK9-1150)*0.1</f>
        <v>308.7</v>
      </c>
      <c r="AO9" s="50">
        <f>865*0.029</f>
        <v>25.1</v>
      </c>
      <c r="AP9" s="50">
        <f>AK9*0.053</f>
        <v>90.5</v>
      </c>
      <c r="AQ9" s="50">
        <f t="shared" ref="AQ9:AQ24" si="16">SUM(AN9:AP9)*C9</f>
        <v>424.3</v>
      </c>
      <c r="AS9" s="99">
        <f t="shared" ref="AS9:AS17" si="17">D9*1.5</f>
        <v>38.509500000000003</v>
      </c>
    </row>
    <row r="10" spans="1:45" x14ac:dyDescent="0.25">
      <c r="A10" s="284">
        <v>2</v>
      </c>
      <c r="B10" s="236" t="s">
        <v>127</v>
      </c>
      <c r="C10" s="284">
        <v>1</v>
      </c>
      <c r="D10" s="237">
        <v>17.971</v>
      </c>
      <c r="E10" s="169">
        <f>C10*D10</f>
        <v>17.97</v>
      </c>
      <c r="F10" s="170">
        <f t="shared" si="1"/>
        <v>215.6</v>
      </c>
      <c r="G10" s="95"/>
      <c r="H10" s="95">
        <v>11.2</v>
      </c>
      <c r="I10" s="95"/>
      <c r="J10" s="95"/>
      <c r="K10" s="95">
        <f>F10*0.3+D10*0.05*6.5</f>
        <v>70.5</v>
      </c>
      <c r="L10" s="95">
        <f t="shared" ref="L10:L23" si="18">F10*$L$4</f>
        <v>33.299999999999997</v>
      </c>
      <c r="M10" s="95">
        <f t="shared" si="2"/>
        <v>330.6</v>
      </c>
      <c r="N10" s="111">
        <v>0.47</v>
      </c>
      <c r="O10" s="95">
        <f t="shared" si="3"/>
        <v>155.4</v>
      </c>
      <c r="P10" s="95">
        <f t="shared" si="4"/>
        <v>486</v>
      </c>
      <c r="Q10" s="95">
        <f t="shared" si="5"/>
        <v>388.8</v>
      </c>
      <c r="R10" s="95">
        <f t="shared" si="6"/>
        <v>388.8</v>
      </c>
      <c r="S10" s="95">
        <f t="shared" si="7"/>
        <v>40.4</v>
      </c>
      <c r="T10" s="95">
        <f t="shared" si="8"/>
        <v>1304</v>
      </c>
      <c r="U10" s="690"/>
      <c r="V10" s="95">
        <f>T10*$U$9</f>
        <v>1304</v>
      </c>
      <c r="W10" s="95">
        <f>AQ10</f>
        <v>362.6</v>
      </c>
      <c r="X10" s="284">
        <v>1</v>
      </c>
      <c r="Y10" s="112">
        <v>30</v>
      </c>
      <c r="Z10" s="113">
        <f t="shared" si="9"/>
        <v>30</v>
      </c>
      <c r="AA10" s="284"/>
      <c r="AB10" s="112">
        <v>15</v>
      </c>
      <c r="AC10" s="113">
        <f t="shared" si="10"/>
        <v>0</v>
      </c>
      <c r="AD10" s="284"/>
      <c r="AE10" s="112">
        <v>30</v>
      </c>
      <c r="AF10" s="113">
        <f t="shared" si="11"/>
        <v>0</v>
      </c>
      <c r="AG10" s="113">
        <f t="shared" si="12"/>
        <v>9</v>
      </c>
      <c r="AH10" s="113">
        <f t="shared" si="13"/>
        <v>39</v>
      </c>
      <c r="AI10" s="114">
        <f t="shared" si="14"/>
        <v>108666.7</v>
      </c>
      <c r="AK10" s="114">
        <f t="shared" si="15"/>
        <v>1304</v>
      </c>
      <c r="AL10" s="114">
        <f t="shared" ref="AL10:AL24" si="19">((979*0.302)+((AK10-979)*0.182))</f>
        <v>354.8</v>
      </c>
      <c r="AM10" s="115">
        <f>AL10/AK10</f>
        <v>0.27200000000000002</v>
      </c>
      <c r="AN10" s="50">
        <f>1150*0.22+(AK10-1150)*0.1</f>
        <v>268.39999999999998</v>
      </c>
      <c r="AO10" s="50">
        <f>865*0.029</f>
        <v>25.1</v>
      </c>
      <c r="AP10" s="50">
        <f>AK10*0.053</f>
        <v>69.099999999999994</v>
      </c>
      <c r="AQ10" s="50">
        <f t="shared" si="16"/>
        <v>362.6</v>
      </c>
      <c r="AS10" s="99">
        <f t="shared" si="17"/>
        <v>26.956499999999998</v>
      </c>
    </row>
    <row r="11" spans="1:45" x14ac:dyDescent="0.25">
      <c r="A11" s="284">
        <v>3</v>
      </c>
      <c r="B11" s="236" t="s">
        <v>23</v>
      </c>
      <c r="C11" s="238">
        <v>4</v>
      </c>
      <c r="D11" s="237">
        <v>11.061999999999999</v>
      </c>
      <c r="E11" s="111">
        <f t="shared" si="0"/>
        <v>44.25</v>
      </c>
      <c r="F11" s="95">
        <f t="shared" si="1"/>
        <v>531</v>
      </c>
      <c r="G11" s="95"/>
      <c r="H11" s="95">
        <f>7.01+7.789+7.01</f>
        <v>21.8</v>
      </c>
      <c r="I11" s="95"/>
      <c r="J11" s="95"/>
      <c r="K11" s="95">
        <f>F11*0.25*2+F11*0.3+D11*0.05*11.5</f>
        <v>431.2</v>
      </c>
      <c r="L11" s="95">
        <f t="shared" si="18"/>
        <v>82</v>
      </c>
      <c r="M11" s="95">
        <f t="shared" si="2"/>
        <v>1066</v>
      </c>
      <c r="N11" s="111">
        <v>0.43</v>
      </c>
      <c r="O11" s="95">
        <f t="shared" si="3"/>
        <v>458.4</v>
      </c>
      <c r="P11" s="95">
        <f t="shared" si="4"/>
        <v>1524.4</v>
      </c>
      <c r="Q11" s="95">
        <f t="shared" si="5"/>
        <v>1219.5</v>
      </c>
      <c r="R11" s="95">
        <f t="shared" si="6"/>
        <v>1219.5</v>
      </c>
      <c r="S11" s="95">
        <f t="shared" si="7"/>
        <v>126.8</v>
      </c>
      <c r="T11" s="95">
        <f t="shared" si="8"/>
        <v>4090.2</v>
      </c>
      <c r="U11" s="690"/>
      <c r="V11" s="95">
        <f t="shared" ref="V11:V23" si="20">T11*$U$9</f>
        <v>4090.2</v>
      </c>
      <c r="W11" s="95">
        <f>AQ11</f>
        <v>1217.2</v>
      </c>
      <c r="X11" s="239">
        <v>2</v>
      </c>
      <c r="Y11" s="240">
        <v>30</v>
      </c>
      <c r="Z11" s="241">
        <f t="shared" si="9"/>
        <v>60</v>
      </c>
      <c r="AA11" s="239">
        <v>1</v>
      </c>
      <c r="AB11" s="240">
        <v>15</v>
      </c>
      <c r="AC11" s="241">
        <f t="shared" si="10"/>
        <v>15</v>
      </c>
      <c r="AD11" s="239">
        <v>1</v>
      </c>
      <c r="AE11" s="240">
        <v>30</v>
      </c>
      <c r="AF11" s="241">
        <f t="shared" si="11"/>
        <v>30</v>
      </c>
      <c r="AG11" s="241">
        <f t="shared" si="12"/>
        <v>31.5</v>
      </c>
      <c r="AH11" s="241">
        <f t="shared" si="13"/>
        <v>136.5</v>
      </c>
      <c r="AI11" s="114">
        <f t="shared" si="14"/>
        <v>85212.5</v>
      </c>
      <c r="AK11" s="114">
        <f t="shared" si="15"/>
        <v>1022.6</v>
      </c>
      <c r="AL11" s="114">
        <f t="shared" si="19"/>
        <v>303.60000000000002</v>
      </c>
      <c r="AM11" s="115">
        <v>0.30199999999999999</v>
      </c>
      <c r="AN11" s="50">
        <f t="shared" ref="AN11:AN24" si="21">AK11*0.22</f>
        <v>225</v>
      </c>
      <c r="AO11" s="50">
        <f>865*0.029</f>
        <v>25.1</v>
      </c>
      <c r="AP11" s="50">
        <f>AK11*0.053</f>
        <v>54.2</v>
      </c>
      <c r="AQ11" s="50">
        <f t="shared" si="16"/>
        <v>1217.2</v>
      </c>
      <c r="AS11" s="99">
        <f t="shared" si="17"/>
        <v>16.593</v>
      </c>
    </row>
    <row r="12" spans="1:45" x14ac:dyDescent="0.25">
      <c r="A12" s="284">
        <v>4</v>
      </c>
      <c r="B12" s="236" t="s">
        <v>47</v>
      </c>
      <c r="C12" s="238">
        <v>1</v>
      </c>
      <c r="D12" s="237">
        <v>6.2859999999999996</v>
      </c>
      <c r="E12" s="111">
        <f t="shared" si="0"/>
        <v>6.29</v>
      </c>
      <c r="F12" s="95">
        <f t="shared" si="1"/>
        <v>75.5</v>
      </c>
      <c r="G12" s="95"/>
      <c r="H12" s="95"/>
      <c r="I12" s="95"/>
      <c r="J12" s="95"/>
      <c r="K12" s="95"/>
      <c r="L12" s="95">
        <f t="shared" si="18"/>
        <v>11.7</v>
      </c>
      <c r="M12" s="95">
        <f t="shared" si="2"/>
        <v>87.2</v>
      </c>
      <c r="N12" s="111">
        <v>0.45</v>
      </c>
      <c r="O12" s="95">
        <f t="shared" si="3"/>
        <v>39.200000000000003</v>
      </c>
      <c r="P12" s="95">
        <f t="shared" si="4"/>
        <v>126.4</v>
      </c>
      <c r="Q12" s="95">
        <f t="shared" si="5"/>
        <v>101.1</v>
      </c>
      <c r="R12" s="95">
        <f t="shared" si="6"/>
        <v>101.1</v>
      </c>
      <c r="S12" s="95">
        <f t="shared" si="7"/>
        <v>10.5</v>
      </c>
      <c r="T12" s="95">
        <f t="shared" si="8"/>
        <v>339.1</v>
      </c>
      <c r="U12" s="690"/>
      <c r="V12" s="95">
        <f t="shared" si="20"/>
        <v>339.1</v>
      </c>
      <c r="W12" s="95">
        <f t="shared" ref="W12:W24" si="22">V12*0.302</f>
        <v>102.4</v>
      </c>
      <c r="X12" s="239"/>
      <c r="Y12" s="240">
        <v>30</v>
      </c>
      <c r="Z12" s="241">
        <f t="shared" si="9"/>
        <v>0</v>
      </c>
      <c r="AA12" s="239"/>
      <c r="AB12" s="240">
        <v>15</v>
      </c>
      <c r="AC12" s="241">
        <f t="shared" si="10"/>
        <v>0</v>
      </c>
      <c r="AD12" s="239"/>
      <c r="AE12" s="240">
        <v>30</v>
      </c>
      <c r="AF12" s="241">
        <f t="shared" si="11"/>
        <v>0</v>
      </c>
      <c r="AG12" s="241">
        <f t="shared" si="12"/>
        <v>0</v>
      </c>
      <c r="AH12" s="241">
        <f t="shared" si="13"/>
        <v>0</v>
      </c>
      <c r="AI12" s="114">
        <f t="shared" si="14"/>
        <v>28258.3</v>
      </c>
      <c r="AK12" s="114">
        <f t="shared" si="15"/>
        <v>339.1</v>
      </c>
      <c r="AL12" s="114">
        <f t="shared" si="19"/>
        <v>179.2</v>
      </c>
      <c r="AM12" s="115">
        <v>0.30199999999999999</v>
      </c>
      <c r="AN12" s="50">
        <f t="shared" si="21"/>
        <v>74.599999999999994</v>
      </c>
      <c r="AO12" s="50"/>
      <c r="AP12" s="50">
        <f t="shared" ref="AP12:AP24" si="23">AK12*0.053</f>
        <v>18</v>
      </c>
      <c r="AQ12" s="50">
        <f t="shared" si="16"/>
        <v>92.6</v>
      </c>
      <c r="AR12" s="22"/>
      <c r="AS12" s="99">
        <f t="shared" si="17"/>
        <v>9.4290000000000003</v>
      </c>
    </row>
    <row r="13" spans="1:45" s="33" customFormat="1" x14ac:dyDescent="0.25">
      <c r="A13" s="284">
        <v>5</v>
      </c>
      <c r="B13" s="52" t="s">
        <v>48</v>
      </c>
      <c r="C13" s="278">
        <v>1</v>
      </c>
      <c r="D13" s="177">
        <v>11.061999999999999</v>
      </c>
      <c r="E13" s="171">
        <f t="shared" si="0"/>
        <v>11.06</v>
      </c>
      <c r="F13" s="154">
        <f t="shared" si="1"/>
        <v>132.69999999999999</v>
      </c>
      <c r="G13" s="154"/>
      <c r="H13" s="154">
        <f>7010.2/1000</f>
        <v>7</v>
      </c>
      <c r="I13" s="154"/>
      <c r="J13" s="154"/>
      <c r="K13" s="154">
        <f>F13*0.4</f>
        <v>53.1</v>
      </c>
      <c r="L13" s="95">
        <f t="shared" si="18"/>
        <v>20.5</v>
      </c>
      <c r="M13" s="154">
        <f t="shared" si="2"/>
        <v>213.3</v>
      </c>
      <c r="N13" s="111">
        <v>0.47</v>
      </c>
      <c r="O13" s="154">
        <f t="shared" si="3"/>
        <v>100.3</v>
      </c>
      <c r="P13" s="154">
        <f t="shared" si="4"/>
        <v>313.60000000000002</v>
      </c>
      <c r="Q13" s="154">
        <f t="shared" si="5"/>
        <v>250.9</v>
      </c>
      <c r="R13" s="154">
        <f t="shared" si="6"/>
        <v>250.9</v>
      </c>
      <c r="S13" s="154">
        <f t="shared" si="7"/>
        <v>26.1</v>
      </c>
      <c r="T13" s="154">
        <f t="shared" si="8"/>
        <v>841.5</v>
      </c>
      <c r="U13" s="690"/>
      <c r="V13" s="154">
        <f t="shared" si="20"/>
        <v>841.5</v>
      </c>
      <c r="W13" s="95">
        <f t="shared" si="22"/>
        <v>254.1</v>
      </c>
      <c r="X13" s="54"/>
      <c r="Y13" s="24">
        <v>30</v>
      </c>
      <c r="Z13" s="48">
        <f t="shared" si="9"/>
        <v>0</v>
      </c>
      <c r="AA13" s="54"/>
      <c r="AB13" s="24">
        <v>15</v>
      </c>
      <c r="AC13" s="48">
        <f t="shared" si="10"/>
        <v>0</v>
      </c>
      <c r="AD13" s="54"/>
      <c r="AE13" s="24">
        <v>30</v>
      </c>
      <c r="AF13" s="48">
        <f t="shared" si="11"/>
        <v>0</v>
      </c>
      <c r="AG13" s="48">
        <f t="shared" si="12"/>
        <v>0</v>
      </c>
      <c r="AH13" s="48">
        <f t="shared" si="13"/>
        <v>0</v>
      </c>
      <c r="AI13" s="34">
        <f t="shared" si="14"/>
        <v>70125</v>
      </c>
      <c r="AK13" s="34">
        <f t="shared" si="15"/>
        <v>841.5</v>
      </c>
      <c r="AL13" s="34">
        <f t="shared" si="19"/>
        <v>270.60000000000002</v>
      </c>
      <c r="AM13" s="51">
        <v>0.30199999999999999</v>
      </c>
      <c r="AN13" s="50">
        <f t="shared" si="21"/>
        <v>185.1</v>
      </c>
      <c r="AO13" s="50"/>
      <c r="AP13" s="50">
        <f t="shared" si="23"/>
        <v>44.6</v>
      </c>
      <c r="AQ13" s="50">
        <f t="shared" si="16"/>
        <v>229.7</v>
      </c>
      <c r="AR13" s="22"/>
      <c r="AS13" s="22">
        <f t="shared" si="17"/>
        <v>16.593</v>
      </c>
    </row>
    <row r="14" spans="1:45" x14ac:dyDescent="0.25">
      <c r="A14" s="284">
        <v>6</v>
      </c>
      <c r="B14" s="236" t="s">
        <v>49</v>
      </c>
      <c r="C14" s="127">
        <v>1</v>
      </c>
      <c r="D14" s="237">
        <v>8.4730000000000008</v>
      </c>
      <c r="E14" s="111">
        <f t="shared" si="0"/>
        <v>8.4700000000000006</v>
      </c>
      <c r="F14" s="95">
        <f t="shared" si="1"/>
        <v>101.6</v>
      </c>
      <c r="G14" s="95"/>
      <c r="H14" s="95">
        <f>5966.1/1000</f>
        <v>6</v>
      </c>
      <c r="I14" s="95"/>
      <c r="J14" s="95"/>
      <c r="K14" s="95">
        <f>F14*0.4</f>
        <v>40.6</v>
      </c>
      <c r="L14" s="95">
        <f t="shared" si="18"/>
        <v>15.7</v>
      </c>
      <c r="M14" s="95">
        <f t="shared" si="2"/>
        <v>163.9</v>
      </c>
      <c r="N14" s="111">
        <v>0.41</v>
      </c>
      <c r="O14" s="95">
        <f t="shared" si="3"/>
        <v>67.2</v>
      </c>
      <c r="P14" s="95">
        <f t="shared" si="4"/>
        <v>231.1</v>
      </c>
      <c r="Q14" s="95">
        <f t="shared" si="5"/>
        <v>184.9</v>
      </c>
      <c r="R14" s="95">
        <f t="shared" si="6"/>
        <v>184.9</v>
      </c>
      <c r="S14" s="95">
        <f t="shared" si="7"/>
        <v>19.2</v>
      </c>
      <c r="T14" s="95">
        <f t="shared" si="8"/>
        <v>620.1</v>
      </c>
      <c r="U14" s="690"/>
      <c r="V14" s="95">
        <f>T14*$U$9</f>
        <v>620.1</v>
      </c>
      <c r="W14" s="95">
        <f t="shared" si="22"/>
        <v>187.3</v>
      </c>
      <c r="X14" s="284"/>
      <c r="Y14" s="112">
        <v>30</v>
      </c>
      <c r="Z14" s="113">
        <f t="shared" si="9"/>
        <v>0</v>
      </c>
      <c r="AA14" s="127"/>
      <c r="AB14" s="112">
        <v>15</v>
      </c>
      <c r="AC14" s="113">
        <f t="shared" si="10"/>
        <v>0</v>
      </c>
      <c r="AD14" s="127"/>
      <c r="AE14" s="112">
        <v>30</v>
      </c>
      <c r="AF14" s="113">
        <f t="shared" si="11"/>
        <v>0</v>
      </c>
      <c r="AG14" s="113">
        <f t="shared" si="12"/>
        <v>0</v>
      </c>
      <c r="AH14" s="113">
        <f t="shared" si="13"/>
        <v>0</v>
      </c>
      <c r="AI14" s="114">
        <f t="shared" si="14"/>
        <v>51675</v>
      </c>
      <c r="AK14" s="114">
        <f t="shared" si="15"/>
        <v>620.1</v>
      </c>
      <c r="AL14" s="114">
        <f t="shared" si="19"/>
        <v>230.3</v>
      </c>
      <c r="AM14" s="115">
        <v>0.30199999999999999</v>
      </c>
      <c r="AN14" s="50">
        <f t="shared" si="21"/>
        <v>136.4</v>
      </c>
      <c r="AO14" s="50"/>
      <c r="AP14" s="50">
        <f t="shared" si="23"/>
        <v>32.9</v>
      </c>
      <c r="AQ14" s="50">
        <f t="shared" si="16"/>
        <v>169.3</v>
      </c>
      <c r="AR14" s="22"/>
      <c r="AS14" s="99">
        <f t="shared" si="17"/>
        <v>12.7095</v>
      </c>
    </row>
    <row r="15" spans="1:45" x14ac:dyDescent="0.25">
      <c r="A15" s="284">
        <v>7</v>
      </c>
      <c r="B15" s="236" t="s">
        <v>52</v>
      </c>
      <c r="C15" s="127">
        <v>1</v>
      </c>
      <c r="D15" s="237">
        <v>8.4730000000000008</v>
      </c>
      <c r="E15" s="111">
        <f t="shared" si="0"/>
        <v>8.4700000000000006</v>
      </c>
      <c r="F15" s="95">
        <f t="shared" si="1"/>
        <v>101.6</v>
      </c>
      <c r="G15" s="95"/>
      <c r="H15" s="95">
        <f>5966.1/1000</f>
        <v>6</v>
      </c>
      <c r="I15" s="95"/>
      <c r="J15" s="95"/>
      <c r="K15" s="95">
        <f>F15*0.25</f>
        <v>25.4</v>
      </c>
      <c r="L15" s="95">
        <f t="shared" si="18"/>
        <v>15.7</v>
      </c>
      <c r="M15" s="95">
        <f t="shared" si="2"/>
        <v>148.69999999999999</v>
      </c>
      <c r="N15" s="111">
        <v>0.41</v>
      </c>
      <c r="O15" s="95">
        <f t="shared" si="3"/>
        <v>61</v>
      </c>
      <c r="P15" s="95">
        <f t="shared" si="4"/>
        <v>209.7</v>
      </c>
      <c r="Q15" s="95">
        <f t="shared" si="5"/>
        <v>167.8</v>
      </c>
      <c r="R15" s="95">
        <f t="shared" si="6"/>
        <v>167.8</v>
      </c>
      <c r="S15" s="95">
        <f t="shared" si="7"/>
        <v>17.399999999999999</v>
      </c>
      <c r="T15" s="95">
        <f t="shared" si="8"/>
        <v>562.70000000000005</v>
      </c>
      <c r="U15" s="690"/>
      <c r="V15" s="95">
        <f t="shared" si="20"/>
        <v>562.70000000000005</v>
      </c>
      <c r="W15" s="95">
        <f t="shared" si="22"/>
        <v>169.9</v>
      </c>
      <c r="X15" s="284"/>
      <c r="Y15" s="112">
        <v>30</v>
      </c>
      <c r="Z15" s="113">
        <f t="shared" si="9"/>
        <v>0</v>
      </c>
      <c r="AA15" s="127"/>
      <c r="AB15" s="112">
        <v>15</v>
      </c>
      <c r="AC15" s="113">
        <f t="shared" si="10"/>
        <v>0</v>
      </c>
      <c r="AD15" s="127"/>
      <c r="AE15" s="112">
        <v>30</v>
      </c>
      <c r="AF15" s="113">
        <f t="shared" si="11"/>
        <v>0</v>
      </c>
      <c r="AG15" s="113">
        <f t="shared" si="12"/>
        <v>0</v>
      </c>
      <c r="AH15" s="113">
        <f t="shared" si="13"/>
        <v>0</v>
      </c>
      <c r="AI15" s="114">
        <f t="shared" si="14"/>
        <v>46891.7</v>
      </c>
      <c r="AK15" s="114">
        <f t="shared" si="15"/>
        <v>562.70000000000005</v>
      </c>
      <c r="AL15" s="114">
        <f t="shared" si="19"/>
        <v>219.9</v>
      </c>
      <c r="AM15" s="115">
        <v>0.30199999999999999</v>
      </c>
      <c r="AN15" s="50">
        <f t="shared" si="21"/>
        <v>123.8</v>
      </c>
      <c r="AO15" s="50"/>
      <c r="AP15" s="50">
        <f t="shared" si="23"/>
        <v>29.8</v>
      </c>
      <c r="AQ15" s="50">
        <f t="shared" si="16"/>
        <v>153.6</v>
      </c>
      <c r="AS15" s="99">
        <f t="shared" si="17"/>
        <v>12.7095</v>
      </c>
    </row>
    <row r="16" spans="1:45" x14ac:dyDescent="0.25">
      <c r="A16" s="284">
        <v>8</v>
      </c>
      <c r="B16" s="236" t="s">
        <v>40</v>
      </c>
      <c r="C16" s="127">
        <v>1</v>
      </c>
      <c r="D16" s="237">
        <v>11.061999999999999</v>
      </c>
      <c r="E16" s="111">
        <f t="shared" si="0"/>
        <v>11.06</v>
      </c>
      <c r="F16" s="95">
        <f t="shared" si="1"/>
        <v>132.69999999999999</v>
      </c>
      <c r="G16" s="95"/>
      <c r="H16" s="95">
        <f>7010.2/1000</f>
        <v>7</v>
      </c>
      <c r="I16" s="95"/>
      <c r="J16" s="95"/>
      <c r="K16" s="95">
        <f>F16*0.25</f>
        <v>33.200000000000003</v>
      </c>
      <c r="L16" s="95">
        <f t="shared" si="18"/>
        <v>20.5</v>
      </c>
      <c r="M16" s="95">
        <f t="shared" si="2"/>
        <v>193.4</v>
      </c>
      <c r="N16" s="111">
        <v>0.43</v>
      </c>
      <c r="O16" s="95">
        <f t="shared" si="3"/>
        <v>83.2</v>
      </c>
      <c r="P16" s="95">
        <f t="shared" si="4"/>
        <v>276.60000000000002</v>
      </c>
      <c r="Q16" s="95">
        <f t="shared" si="5"/>
        <v>221.3</v>
      </c>
      <c r="R16" s="95">
        <f t="shared" si="6"/>
        <v>221.3</v>
      </c>
      <c r="S16" s="95">
        <f t="shared" si="7"/>
        <v>23</v>
      </c>
      <c r="T16" s="95">
        <f t="shared" si="8"/>
        <v>742.2</v>
      </c>
      <c r="U16" s="690"/>
      <c r="V16" s="95">
        <f t="shared" si="20"/>
        <v>742.2</v>
      </c>
      <c r="W16" s="95">
        <f t="shared" si="22"/>
        <v>224.1</v>
      </c>
      <c r="X16" s="284"/>
      <c r="Y16" s="112">
        <v>30</v>
      </c>
      <c r="Z16" s="113">
        <f t="shared" si="9"/>
        <v>0</v>
      </c>
      <c r="AA16" s="127"/>
      <c r="AB16" s="112">
        <v>15</v>
      </c>
      <c r="AC16" s="113">
        <f t="shared" si="10"/>
        <v>0</v>
      </c>
      <c r="AD16" s="127"/>
      <c r="AE16" s="112">
        <v>30</v>
      </c>
      <c r="AF16" s="113">
        <f t="shared" si="11"/>
        <v>0</v>
      </c>
      <c r="AG16" s="113">
        <f t="shared" si="12"/>
        <v>0</v>
      </c>
      <c r="AH16" s="113">
        <f t="shared" si="13"/>
        <v>0</v>
      </c>
      <c r="AI16" s="114">
        <f t="shared" si="14"/>
        <v>61850</v>
      </c>
      <c r="AK16" s="114">
        <f t="shared" si="15"/>
        <v>742.2</v>
      </c>
      <c r="AL16" s="114">
        <f t="shared" si="19"/>
        <v>252.6</v>
      </c>
      <c r="AM16" s="115">
        <v>0.30199999999999999</v>
      </c>
      <c r="AN16" s="50">
        <f t="shared" si="21"/>
        <v>163.30000000000001</v>
      </c>
      <c r="AO16" s="242"/>
      <c r="AP16" s="50">
        <f t="shared" si="23"/>
        <v>39.299999999999997</v>
      </c>
      <c r="AQ16" s="50">
        <f t="shared" si="16"/>
        <v>202.6</v>
      </c>
      <c r="AS16" s="99">
        <f t="shared" si="17"/>
        <v>16.593</v>
      </c>
    </row>
    <row r="17" spans="1:45" x14ac:dyDescent="0.25">
      <c r="A17" s="284">
        <v>9</v>
      </c>
      <c r="B17" s="236" t="s">
        <v>29</v>
      </c>
      <c r="C17" s="127">
        <v>1</v>
      </c>
      <c r="D17" s="237">
        <v>8.4730000000000008</v>
      </c>
      <c r="E17" s="111">
        <f t="shared" si="0"/>
        <v>8.4700000000000006</v>
      </c>
      <c r="F17" s="95">
        <f t="shared" si="1"/>
        <v>101.6</v>
      </c>
      <c r="G17" s="95"/>
      <c r="H17" s="95">
        <f>5369.5/1000</f>
        <v>5.4</v>
      </c>
      <c r="I17" s="95"/>
      <c r="J17" s="95">
        <f>D17*0.1*3</f>
        <v>2.5</v>
      </c>
      <c r="K17" s="95">
        <f>D17*0.25*12</f>
        <v>25.4</v>
      </c>
      <c r="L17" s="95">
        <f t="shared" si="18"/>
        <v>15.7</v>
      </c>
      <c r="M17" s="95">
        <f t="shared" si="2"/>
        <v>150.6</v>
      </c>
      <c r="N17" s="111">
        <v>0.41</v>
      </c>
      <c r="O17" s="95">
        <f t="shared" si="3"/>
        <v>61.7</v>
      </c>
      <c r="P17" s="95">
        <f t="shared" si="4"/>
        <v>212.3</v>
      </c>
      <c r="Q17" s="95">
        <f t="shared" si="5"/>
        <v>169.8</v>
      </c>
      <c r="R17" s="95">
        <f t="shared" si="6"/>
        <v>169.8</v>
      </c>
      <c r="S17" s="95">
        <f t="shared" si="7"/>
        <v>17.7</v>
      </c>
      <c r="T17" s="95">
        <f t="shared" si="8"/>
        <v>569.6</v>
      </c>
      <c r="U17" s="690"/>
      <c r="V17" s="95">
        <f t="shared" si="20"/>
        <v>569.6</v>
      </c>
      <c r="W17" s="95">
        <f t="shared" si="22"/>
        <v>172</v>
      </c>
      <c r="X17" s="284">
        <v>1</v>
      </c>
      <c r="Y17" s="112">
        <v>30</v>
      </c>
      <c r="Z17" s="113">
        <f t="shared" si="9"/>
        <v>30</v>
      </c>
      <c r="AA17" s="127"/>
      <c r="AB17" s="112">
        <v>15</v>
      </c>
      <c r="AC17" s="113">
        <f t="shared" si="10"/>
        <v>0</v>
      </c>
      <c r="AD17" s="127"/>
      <c r="AE17" s="112">
        <v>30</v>
      </c>
      <c r="AF17" s="113">
        <f t="shared" si="11"/>
        <v>0</v>
      </c>
      <c r="AG17" s="113">
        <f t="shared" si="12"/>
        <v>9</v>
      </c>
      <c r="AH17" s="113">
        <f t="shared" si="13"/>
        <v>39</v>
      </c>
      <c r="AI17" s="114">
        <f t="shared" si="14"/>
        <v>47466.7</v>
      </c>
      <c r="AK17" s="114">
        <f t="shared" si="15"/>
        <v>569.6</v>
      </c>
      <c r="AL17" s="114">
        <f t="shared" si="19"/>
        <v>221.1</v>
      </c>
      <c r="AM17" s="115">
        <v>0.30199999999999999</v>
      </c>
      <c r="AN17" s="50">
        <f t="shared" si="21"/>
        <v>125.3</v>
      </c>
      <c r="AO17" s="242"/>
      <c r="AP17" s="50">
        <f t="shared" si="23"/>
        <v>30.2</v>
      </c>
      <c r="AQ17" s="50">
        <f t="shared" si="16"/>
        <v>155.5</v>
      </c>
      <c r="AS17" s="99">
        <f t="shared" si="17"/>
        <v>12.7095</v>
      </c>
    </row>
    <row r="18" spans="1:45" ht="26.4" x14ac:dyDescent="0.25">
      <c r="A18" s="284">
        <v>10</v>
      </c>
      <c r="B18" s="236" t="s">
        <v>148</v>
      </c>
      <c r="C18" s="127">
        <v>1</v>
      </c>
      <c r="D18" s="237">
        <v>8.4730000000000008</v>
      </c>
      <c r="E18" s="111">
        <f t="shared" si="0"/>
        <v>8.4700000000000006</v>
      </c>
      <c r="F18" s="95">
        <f t="shared" si="1"/>
        <v>101.6</v>
      </c>
      <c r="G18" s="95"/>
      <c r="H18" s="95"/>
      <c r="I18" s="95"/>
      <c r="J18" s="95"/>
      <c r="K18" s="95">
        <f>F18*0.25+D18*0.05*11</f>
        <v>30.1</v>
      </c>
      <c r="L18" s="95">
        <f t="shared" si="18"/>
        <v>15.7</v>
      </c>
      <c r="M18" s="95">
        <f t="shared" si="2"/>
        <v>147.4</v>
      </c>
      <c r="N18" s="111">
        <v>0.41</v>
      </c>
      <c r="O18" s="95">
        <f t="shared" si="3"/>
        <v>60.4</v>
      </c>
      <c r="P18" s="95">
        <f t="shared" si="4"/>
        <v>207.8</v>
      </c>
      <c r="Q18" s="95">
        <f t="shared" si="5"/>
        <v>166.2</v>
      </c>
      <c r="R18" s="95">
        <f t="shared" si="6"/>
        <v>166.2</v>
      </c>
      <c r="S18" s="95">
        <f t="shared" si="7"/>
        <v>17.3</v>
      </c>
      <c r="T18" s="95">
        <f t="shared" si="8"/>
        <v>557.5</v>
      </c>
      <c r="U18" s="690"/>
      <c r="V18" s="95">
        <f t="shared" si="20"/>
        <v>557.5</v>
      </c>
      <c r="W18" s="95">
        <f t="shared" si="22"/>
        <v>168.4</v>
      </c>
      <c r="X18" s="284">
        <v>1</v>
      </c>
      <c r="Y18" s="112">
        <v>30</v>
      </c>
      <c r="Z18" s="113">
        <f t="shared" si="9"/>
        <v>30</v>
      </c>
      <c r="AA18" s="127"/>
      <c r="AB18" s="112">
        <v>15</v>
      </c>
      <c r="AC18" s="113">
        <f t="shared" si="10"/>
        <v>0</v>
      </c>
      <c r="AD18" s="127"/>
      <c r="AE18" s="112">
        <v>30</v>
      </c>
      <c r="AF18" s="113">
        <f t="shared" si="11"/>
        <v>0</v>
      </c>
      <c r="AG18" s="113">
        <f t="shared" si="12"/>
        <v>9</v>
      </c>
      <c r="AH18" s="113">
        <f t="shared" si="13"/>
        <v>39</v>
      </c>
      <c r="AI18" s="114"/>
      <c r="AK18" s="114">
        <f t="shared" si="15"/>
        <v>557.5</v>
      </c>
      <c r="AL18" s="114"/>
      <c r="AM18" s="115"/>
      <c r="AN18" s="50">
        <f t="shared" si="21"/>
        <v>122.7</v>
      </c>
      <c r="AO18" s="242"/>
      <c r="AP18" s="50">
        <f t="shared" si="23"/>
        <v>29.5</v>
      </c>
      <c r="AQ18" s="50">
        <f t="shared" si="16"/>
        <v>152.19999999999999</v>
      </c>
    </row>
    <row r="19" spans="1:45" ht="26.4" x14ac:dyDescent="0.25">
      <c r="A19" s="284">
        <v>11</v>
      </c>
      <c r="B19" s="236" t="s">
        <v>130</v>
      </c>
      <c r="C19" s="127">
        <v>1</v>
      </c>
      <c r="D19" s="237">
        <v>8.4730000000000008</v>
      </c>
      <c r="E19" s="111">
        <f t="shared" si="0"/>
        <v>8.4700000000000006</v>
      </c>
      <c r="F19" s="95">
        <f t="shared" si="1"/>
        <v>101.6</v>
      </c>
      <c r="G19" s="95"/>
      <c r="H19" s="95"/>
      <c r="I19" s="95"/>
      <c r="J19" s="95"/>
      <c r="K19" s="95"/>
      <c r="L19" s="95">
        <f t="shared" si="18"/>
        <v>15.7</v>
      </c>
      <c r="M19" s="95">
        <f t="shared" si="2"/>
        <v>117.3</v>
      </c>
      <c r="N19" s="111">
        <v>0.47</v>
      </c>
      <c r="O19" s="95">
        <f t="shared" si="3"/>
        <v>55.1</v>
      </c>
      <c r="P19" s="95">
        <f t="shared" si="4"/>
        <v>172.4</v>
      </c>
      <c r="Q19" s="95">
        <f t="shared" si="5"/>
        <v>137.9</v>
      </c>
      <c r="R19" s="95">
        <f t="shared" si="6"/>
        <v>137.9</v>
      </c>
      <c r="S19" s="95">
        <f t="shared" si="7"/>
        <v>14.3</v>
      </c>
      <c r="T19" s="95">
        <f t="shared" si="8"/>
        <v>462.5</v>
      </c>
      <c r="U19" s="690"/>
      <c r="V19" s="95">
        <f t="shared" si="20"/>
        <v>462.5</v>
      </c>
      <c r="W19" s="95">
        <f t="shared" si="22"/>
        <v>139.69999999999999</v>
      </c>
      <c r="X19" s="284"/>
      <c r="Y19" s="112">
        <v>30</v>
      </c>
      <c r="Z19" s="113">
        <f t="shared" si="9"/>
        <v>0</v>
      </c>
      <c r="AA19" s="127"/>
      <c r="AB19" s="112">
        <v>15</v>
      </c>
      <c r="AC19" s="113">
        <f t="shared" si="10"/>
        <v>0</v>
      </c>
      <c r="AD19" s="127"/>
      <c r="AE19" s="112">
        <v>30</v>
      </c>
      <c r="AF19" s="113">
        <f t="shared" si="11"/>
        <v>0</v>
      </c>
      <c r="AG19" s="113">
        <f t="shared" si="12"/>
        <v>0</v>
      </c>
      <c r="AH19" s="113">
        <f t="shared" si="13"/>
        <v>0</v>
      </c>
      <c r="AI19" s="114"/>
      <c r="AK19" s="114">
        <f t="shared" si="15"/>
        <v>462.5</v>
      </c>
      <c r="AL19" s="114"/>
      <c r="AM19" s="115"/>
      <c r="AN19" s="50">
        <f t="shared" si="21"/>
        <v>101.8</v>
      </c>
      <c r="AO19" s="242"/>
      <c r="AP19" s="50">
        <f t="shared" si="23"/>
        <v>24.5</v>
      </c>
      <c r="AQ19" s="50">
        <f t="shared" si="16"/>
        <v>126.3</v>
      </c>
    </row>
    <row r="20" spans="1:45" x14ac:dyDescent="0.25">
      <c r="A20" s="284">
        <v>12</v>
      </c>
      <c r="B20" s="236" t="s">
        <v>149</v>
      </c>
      <c r="C20" s="127">
        <v>1</v>
      </c>
      <c r="D20" s="237">
        <v>11.061999999999999</v>
      </c>
      <c r="E20" s="111">
        <f t="shared" si="0"/>
        <v>11.06</v>
      </c>
      <c r="F20" s="95">
        <f t="shared" si="1"/>
        <v>132.69999999999999</v>
      </c>
      <c r="G20" s="95"/>
      <c r="H20" s="95"/>
      <c r="I20" s="95"/>
      <c r="J20" s="95"/>
      <c r="K20" s="95"/>
      <c r="L20" s="95">
        <f t="shared" si="18"/>
        <v>20.5</v>
      </c>
      <c r="M20" s="95">
        <f t="shared" si="2"/>
        <v>153.19999999999999</v>
      </c>
      <c r="N20" s="111">
        <v>0.43</v>
      </c>
      <c r="O20" s="95">
        <f t="shared" si="3"/>
        <v>65.900000000000006</v>
      </c>
      <c r="P20" s="95">
        <f t="shared" si="4"/>
        <v>219.1</v>
      </c>
      <c r="Q20" s="95">
        <f t="shared" si="5"/>
        <v>175.3</v>
      </c>
      <c r="R20" s="95">
        <f t="shared" si="6"/>
        <v>175.3</v>
      </c>
      <c r="S20" s="95">
        <f t="shared" si="7"/>
        <v>18.2</v>
      </c>
      <c r="T20" s="95">
        <f t="shared" si="8"/>
        <v>587.9</v>
      </c>
      <c r="U20" s="690"/>
      <c r="V20" s="95">
        <f t="shared" si="20"/>
        <v>587.9</v>
      </c>
      <c r="W20" s="95">
        <f t="shared" si="22"/>
        <v>177.5</v>
      </c>
      <c r="X20" s="284"/>
      <c r="Y20" s="112">
        <v>30</v>
      </c>
      <c r="Z20" s="113">
        <f t="shared" si="9"/>
        <v>0</v>
      </c>
      <c r="AA20" s="127"/>
      <c r="AB20" s="112">
        <v>15</v>
      </c>
      <c r="AC20" s="113">
        <f t="shared" si="10"/>
        <v>0</v>
      </c>
      <c r="AD20" s="127"/>
      <c r="AE20" s="112">
        <v>30</v>
      </c>
      <c r="AF20" s="113">
        <f t="shared" si="11"/>
        <v>0</v>
      </c>
      <c r="AG20" s="113">
        <f t="shared" si="12"/>
        <v>0</v>
      </c>
      <c r="AH20" s="113">
        <f t="shared" si="13"/>
        <v>0</v>
      </c>
      <c r="AI20" s="114"/>
      <c r="AK20" s="114">
        <f t="shared" si="15"/>
        <v>587.9</v>
      </c>
      <c r="AL20" s="114"/>
      <c r="AM20" s="115"/>
      <c r="AN20" s="50">
        <f t="shared" si="21"/>
        <v>129.30000000000001</v>
      </c>
      <c r="AO20" s="242"/>
      <c r="AP20" s="50">
        <f t="shared" si="23"/>
        <v>31.2</v>
      </c>
      <c r="AQ20" s="50">
        <f t="shared" si="16"/>
        <v>160.5</v>
      </c>
    </row>
    <row r="21" spans="1:45" x14ac:dyDescent="0.25">
      <c r="A21" s="284">
        <v>13</v>
      </c>
      <c r="B21" s="243" t="s">
        <v>42</v>
      </c>
      <c r="C21" s="127">
        <v>1</v>
      </c>
      <c r="D21" s="237">
        <v>11.061999999999999</v>
      </c>
      <c r="E21" s="111">
        <f t="shared" si="0"/>
        <v>11.06</v>
      </c>
      <c r="F21" s="95">
        <f t="shared" si="1"/>
        <v>132.69999999999999</v>
      </c>
      <c r="G21" s="95"/>
      <c r="H21" s="95">
        <f>7789.1/1000</f>
        <v>7.8</v>
      </c>
      <c r="I21" s="95"/>
      <c r="J21" s="95"/>
      <c r="K21" s="95">
        <f>F21*0.3+D21*0.05*2</f>
        <v>40.9</v>
      </c>
      <c r="L21" s="95">
        <f t="shared" si="18"/>
        <v>20.5</v>
      </c>
      <c r="M21" s="95">
        <f t="shared" si="2"/>
        <v>201.9</v>
      </c>
      <c r="N21" s="111">
        <v>0.43</v>
      </c>
      <c r="O21" s="95">
        <f t="shared" si="3"/>
        <v>86.8</v>
      </c>
      <c r="P21" s="95">
        <f t="shared" si="4"/>
        <v>288.7</v>
      </c>
      <c r="Q21" s="95">
        <f t="shared" si="5"/>
        <v>231</v>
      </c>
      <c r="R21" s="95">
        <f t="shared" si="6"/>
        <v>231</v>
      </c>
      <c r="S21" s="95">
        <f t="shared" si="7"/>
        <v>24</v>
      </c>
      <c r="T21" s="95">
        <f t="shared" si="8"/>
        <v>774.7</v>
      </c>
      <c r="U21" s="690"/>
      <c r="V21" s="95">
        <f t="shared" si="20"/>
        <v>774.7</v>
      </c>
      <c r="W21" s="95">
        <f t="shared" si="22"/>
        <v>234</v>
      </c>
      <c r="X21" s="284"/>
      <c r="Y21" s="112">
        <v>30</v>
      </c>
      <c r="Z21" s="113">
        <f t="shared" si="9"/>
        <v>0</v>
      </c>
      <c r="AA21" s="127"/>
      <c r="AB21" s="112">
        <v>15</v>
      </c>
      <c r="AC21" s="113">
        <f t="shared" si="10"/>
        <v>0</v>
      </c>
      <c r="AD21" s="127"/>
      <c r="AE21" s="112">
        <v>30</v>
      </c>
      <c r="AF21" s="113">
        <f t="shared" si="11"/>
        <v>0</v>
      </c>
      <c r="AG21" s="113">
        <f t="shared" si="12"/>
        <v>0</v>
      </c>
      <c r="AH21" s="113">
        <f t="shared" si="13"/>
        <v>0</v>
      </c>
      <c r="AI21" s="114">
        <f>V21/12/C21*1000</f>
        <v>64558.3</v>
      </c>
      <c r="AK21" s="114">
        <f t="shared" si="15"/>
        <v>774.7</v>
      </c>
      <c r="AL21" s="114">
        <f t="shared" si="19"/>
        <v>258.5</v>
      </c>
      <c r="AM21" s="115">
        <v>0.30199999999999999</v>
      </c>
      <c r="AN21" s="50">
        <f t="shared" si="21"/>
        <v>170.4</v>
      </c>
      <c r="AO21" s="244"/>
      <c r="AP21" s="50">
        <f t="shared" si="23"/>
        <v>41.1</v>
      </c>
      <c r="AQ21" s="50">
        <f t="shared" si="16"/>
        <v>211.5</v>
      </c>
      <c r="AS21" s="99">
        <f>D21*1.5</f>
        <v>16.593</v>
      </c>
    </row>
    <row r="22" spans="1:45" x14ac:dyDescent="0.25">
      <c r="A22" s="284">
        <v>14</v>
      </c>
      <c r="B22" s="236" t="s">
        <v>33</v>
      </c>
      <c r="C22" s="127">
        <v>1</v>
      </c>
      <c r="D22" s="237">
        <v>8.4730000000000008</v>
      </c>
      <c r="E22" s="111">
        <f t="shared" si="0"/>
        <v>8.4700000000000006</v>
      </c>
      <c r="F22" s="95">
        <f t="shared" si="1"/>
        <v>101.6</v>
      </c>
      <c r="G22" s="95">
        <f>18010.1/1000</f>
        <v>18</v>
      </c>
      <c r="H22" s="95">
        <f>4474.6/1000</f>
        <v>4.5</v>
      </c>
      <c r="I22" s="95"/>
      <c r="J22" s="95"/>
      <c r="K22" s="95">
        <f>F22*0.25</f>
        <v>25.4</v>
      </c>
      <c r="L22" s="95">
        <f t="shared" si="18"/>
        <v>15.7</v>
      </c>
      <c r="M22" s="95">
        <f t="shared" si="2"/>
        <v>165.2</v>
      </c>
      <c r="N22" s="111">
        <v>0.41</v>
      </c>
      <c r="O22" s="95">
        <f t="shared" si="3"/>
        <v>67.7</v>
      </c>
      <c r="P22" s="95">
        <f t="shared" si="4"/>
        <v>232.9</v>
      </c>
      <c r="Q22" s="95">
        <f t="shared" si="5"/>
        <v>186.3</v>
      </c>
      <c r="R22" s="95">
        <f t="shared" si="6"/>
        <v>186.3</v>
      </c>
      <c r="S22" s="95">
        <f t="shared" si="7"/>
        <v>19.399999999999999</v>
      </c>
      <c r="T22" s="95">
        <f t="shared" si="8"/>
        <v>624.9</v>
      </c>
      <c r="U22" s="690"/>
      <c r="V22" s="95">
        <f t="shared" si="20"/>
        <v>624.9</v>
      </c>
      <c r="W22" s="95">
        <f t="shared" si="22"/>
        <v>188.7</v>
      </c>
      <c r="X22" s="238"/>
      <c r="Y22" s="240">
        <v>30</v>
      </c>
      <c r="Z22" s="241">
        <f t="shared" si="9"/>
        <v>0</v>
      </c>
      <c r="AA22" s="238"/>
      <c r="AB22" s="240">
        <v>15</v>
      </c>
      <c r="AC22" s="241">
        <f t="shared" si="10"/>
        <v>0</v>
      </c>
      <c r="AD22" s="238"/>
      <c r="AE22" s="240">
        <v>30</v>
      </c>
      <c r="AF22" s="241">
        <f t="shared" si="11"/>
        <v>0</v>
      </c>
      <c r="AG22" s="241">
        <f t="shared" si="12"/>
        <v>0</v>
      </c>
      <c r="AH22" s="241">
        <f t="shared" si="13"/>
        <v>0</v>
      </c>
      <c r="AI22" s="114">
        <f>V22/12/C22*1000</f>
        <v>52075</v>
      </c>
      <c r="AK22" s="114">
        <f t="shared" si="15"/>
        <v>624.9</v>
      </c>
      <c r="AL22" s="114">
        <f t="shared" si="19"/>
        <v>231.2</v>
      </c>
      <c r="AM22" s="115">
        <v>0.30199999999999999</v>
      </c>
      <c r="AN22" s="50">
        <f t="shared" si="21"/>
        <v>137.5</v>
      </c>
      <c r="AO22" s="244"/>
      <c r="AP22" s="50">
        <f t="shared" si="23"/>
        <v>33.1</v>
      </c>
      <c r="AQ22" s="50">
        <f t="shared" si="16"/>
        <v>170.6</v>
      </c>
      <c r="AR22" s="245"/>
      <c r="AS22" s="99">
        <f>D22*1.5</f>
        <v>12.7095</v>
      </c>
    </row>
    <row r="23" spans="1:45" s="245" customFormat="1" x14ac:dyDescent="0.25">
      <c r="A23" s="284">
        <v>15</v>
      </c>
      <c r="B23" s="236" t="s">
        <v>58</v>
      </c>
      <c r="C23" s="246">
        <v>1</v>
      </c>
      <c r="D23" s="247">
        <v>11.061999999999999</v>
      </c>
      <c r="E23" s="111">
        <f t="shared" si="0"/>
        <v>11.06</v>
      </c>
      <c r="F23" s="95">
        <f t="shared" si="1"/>
        <v>132.69999999999999</v>
      </c>
      <c r="G23" s="248"/>
      <c r="H23" s="248"/>
      <c r="I23" s="248"/>
      <c r="J23" s="248"/>
      <c r="K23" s="248"/>
      <c r="L23" s="95">
        <f t="shared" si="18"/>
        <v>20.5</v>
      </c>
      <c r="M23" s="95">
        <f t="shared" si="2"/>
        <v>153.19999999999999</v>
      </c>
      <c r="N23" s="111">
        <v>0.43</v>
      </c>
      <c r="O23" s="95">
        <f t="shared" si="3"/>
        <v>65.900000000000006</v>
      </c>
      <c r="P23" s="95">
        <f t="shared" si="4"/>
        <v>219.1</v>
      </c>
      <c r="Q23" s="95">
        <f t="shared" si="5"/>
        <v>175.3</v>
      </c>
      <c r="R23" s="95">
        <f t="shared" si="6"/>
        <v>175.3</v>
      </c>
      <c r="S23" s="95">
        <f t="shared" si="7"/>
        <v>18.2</v>
      </c>
      <c r="T23" s="95">
        <f t="shared" si="8"/>
        <v>587.9</v>
      </c>
      <c r="U23" s="690"/>
      <c r="V23" s="95">
        <f t="shared" si="20"/>
        <v>587.9</v>
      </c>
      <c r="W23" s="95">
        <f t="shared" si="22"/>
        <v>177.5</v>
      </c>
      <c r="X23" s="246"/>
      <c r="Y23" s="240">
        <v>30</v>
      </c>
      <c r="Z23" s="241">
        <f t="shared" si="9"/>
        <v>0</v>
      </c>
      <c r="AA23" s="246"/>
      <c r="AB23" s="240">
        <v>15</v>
      </c>
      <c r="AC23" s="241">
        <f t="shared" si="10"/>
        <v>0</v>
      </c>
      <c r="AD23" s="246"/>
      <c r="AE23" s="240">
        <v>30</v>
      </c>
      <c r="AF23" s="241">
        <f t="shared" si="11"/>
        <v>0</v>
      </c>
      <c r="AG23" s="241">
        <f t="shared" si="12"/>
        <v>0</v>
      </c>
      <c r="AH23" s="241">
        <f t="shared" si="13"/>
        <v>0</v>
      </c>
      <c r="AI23" s="114"/>
      <c r="AK23" s="114">
        <f t="shared" si="15"/>
        <v>587.9</v>
      </c>
      <c r="AL23" s="114"/>
      <c r="AM23" s="115"/>
      <c r="AN23" s="50">
        <f t="shared" si="21"/>
        <v>129.30000000000001</v>
      </c>
      <c r="AO23" s="211"/>
      <c r="AP23" s="50">
        <f t="shared" si="23"/>
        <v>31.2</v>
      </c>
      <c r="AQ23" s="50">
        <f t="shared" si="16"/>
        <v>160.5</v>
      </c>
      <c r="AR23" s="99"/>
      <c r="AS23" s="99"/>
    </row>
    <row r="24" spans="1:45" s="252" customFormat="1" x14ac:dyDescent="0.25">
      <c r="A24" s="284">
        <v>16</v>
      </c>
      <c r="B24" s="236" t="s">
        <v>102</v>
      </c>
      <c r="C24" s="238">
        <v>1</v>
      </c>
      <c r="D24" s="237">
        <v>4.3769999999999998</v>
      </c>
      <c r="E24" s="249">
        <f t="shared" si="0"/>
        <v>4.38</v>
      </c>
      <c r="F24" s="170">
        <f t="shared" si="1"/>
        <v>52.6</v>
      </c>
      <c r="G24" s="248"/>
      <c r="H24" s="248"/>
      <c r="I24" s="248"/>
      <c r="J24" s="248"/>
      <c r="K24" s="248"/>
      <c r="L24" s="95">
        <v>35.200000000000003</v>
      </c>
      <c r="M24" s="248">
        <f t="shared" si="2"/>
        <v>87.8</v>
      </c>
      <c r="N24" s="111">
        <v>0.49</v>
      </c>
      <c r="O24" s="248">
        <f t="shared" si="3"/>
        <v>43</v>
      </c>
      <c r="P24" s="248">
        <f t="shared" si="4"/>
        <v>130.80000000000001</v>
      </c>
      <c r="Q24" s="248">
        <f t="shared" si="5"/>
        <v>104.6</v>
      </c>
      <c r="R24" s="95">
        <f t="shared" si="6"/>
        <v>104.6</v>
      </c>
      <c r="S24" s="248">
        <f t="shared" si="7"/>
        <v>10.9</v>
      </c>
      <c r="T24" s="248">
        <f t="shared" si="8"/>
        <v>350.9</v>
      </c>
      <c r="U24" s="691"/>
      <c r="V24" s="250">
        <f>T24*$U$9-0.3</f>
        <v>350.6</v>
      </c>
      <c r="W24" s="95">
        <f t="shared" si="22"/>
        <v>105.9</v>
      </c>
      <c r="X24" s="251">
        <v>1</v>
      </c>
      <c r="Y24" s="112">
        <v>30</v>
      </c>
      <c r="Z24" s="113">
        <f t="shared" si="9"/>
        <v>30</v>
      </c>
      <c r="AA24" s="251"/>
      <c r="AB24" s="112">
        <v>15</v>
      </c>
      <c r="AC24" s="113">
        <f t="shared" si="10"/>
        <v>0</v>
      </c>
      <c r="AD24" s="251"/>
      <c r="AE24" s="112">
        <v>30</v>
      </c>
      <c r="AF24" s="113">
        <f t="shared" si="11"/>
        <v>0</v>
      </c>
      <c r="AG24" s="113">
        <f t="shared" si="12"/>
        <v>9</v>
      </c>
      <c r="AH24" s="113">
        <f t="shared" si="13"/>
        <v>39</v>
      </c>
      <c r="AI24" s="114">
        <f>V24/12/C24*1000</f>
        <v>29216.7</v>
      </c>
      <c r="AK24" s="114">
        <f t="shared" si="15"/>
        <v>350.6</v>
      </c>
      <c r="AL24" s="114">
        <f t="shared" si="19"/>
        <v>181.3</v>
      </c>
      <c r="AM24" s="115">
        <v>0.30199999999999999</v>
      </c>
      <c r="AN24" s="50">
        <f t="shared" si="21"/>
        <v>77.099999999999994</v>
      </c>
      <c r="AO24" s="211"/>
      <c r="AP24" s="50">
        <f t="shared" si="23"/>
        <v>18.600000000000001</v>
      </c>
      <c r="AQ24" s="50">
        <f t="shared" si="16"/>
        <v>95.7</v>
      </c>
      <c r="AR24" s="99"/>
      <c r="AS24" s="99">
        <f>D24*1.5</f>
        <v>6.5655000000000001</v>
      </c>
    </row>
    <row r="25" spans="1:45" s="98" customFormat="1" ht="20.25" customHeight="1" x14ac:dyDescent="0.25">
      <c r="A25" s="692" t="s">
        <v>8</v>
      </c>
      <c r="B25" s="692"/>
      <c r="C25" s="253">
        <f t="shared" ref="C25:M25" si="24">SUM(C9:C24)</f>
        <v>19</v>
      </c>
      <c r="D25" s="254">
        <f t="shared" si="24"/>
        <v>171.5</v>
      </c>
      <c r="E25" s="254">
        <f t="shared" si="24"/>
        <v>204.7</v>
      </c>
      <c r="F25" s="254">
        <f t="shared" si="24"/>
        <v>2455.8000000000002</v>
      </c>
      <c r="G25" s="254">
        <f t="shared" si="24"/>
        <v>18</v>
      </c>
      <c r="H25" s="254">
        <f t="shared" si="24"/>
        <v>76.7</v>
      </c>
      <c r="I25" s="254">
        <f t="shared" si="24"/>
        <v>0</v>
      </c>
      <c r="J25" s="254">
        <f t="shared" si="24"/>
        <v>2.5</v>
      </c>
      <c r="K25" s="254">
        <f t="shared" si="24"/>
        <v>868.2</v>
      </c>
      <c r="L25" s="254">
        <f t="shared" si="24"/>
        <v>406.5</v>
      </c>
      <c r="M25" s="254">
        <f t="shared" si="24"/>
        <v>3827.7</v>
      </c>
      <c r="N25" s="254"/>
      <c r="O25" s="254">
        <f t="shared" ref="O25:AH25" si="25">SUM(O9:O24)</f>
        <v>1659.4</v>
      </c>
      <c r="P25" s="254">
        <f t="shared" si="25"/>
        <v>5487.1</v>
      </c>
      <c r="Q25" s="254">
        <f t="shared" si="25"/>
        <v>4389.7</v>
      </c>
      <c r="R25" s="254">
        <f t="shared" si="25"/>
        <v>4389.7</v>
      </c>
      <c r="S25" s="254">
        <f t="shared" si="25"/>
        <v>456.3</v>
      </c>
      <c r="T25" s="254">
        <f t="shared" si="25"/>
        <v>14722.8</v>
      </c>
      <c r="U25" s="254">
        <f t="shared" si="25"/>
        <v>1</v>
      </c>
      <c r="V25" s="254">
        <f t="shared" si="25"/>
        <v>14722.5</v>
      </c>
      <c r="W25" s="254">
        <f t="shared" si="25"/>
        <v>4305.6000000000004</v>
      </c>
      <c r="X25" s="254">
        <f t="shared" si="25"/>
        <v>7</v>
      </c>
      <c r="Y25" s="254">
        <f t="shared" si="25"/>
        <v>480</v>
      </c>
      <c r="Z25" s="254">
        <f t="shared" si="25"/>
        <v>210</v>
      </c>
      <c r="AA25" s="254">
        <f t="shared" si="25"/>
        <v>1</v>
      </c>
      <c r="AB25" s="254">
        <f t="shared" si="25"/>
        <v>240</v>
      </c>
      <c r="AC25" s="254">
        <f t="shared" si="25"/>
        <v>15</v>
      </c>
      <c r="AD25" s="254">
        <f t="shared" si="25"/>
        <v>2</v>
      </c>
      <c r="AE25" s="254">
        <f t="shared" si="25"/>
        <v>480</v>
      </c>
      <c r="AF25" s="254">
        <f t="shared" si="25"/>
        <v>60</v>
      </c>
      <c r="AG25" s="254">
        <f t="shared" si="25"/>
        <v>85.5</v>
      </c>
      <c r="AH25" s="254">
        <f t="shared" si="25"/>
        <v>370.5</v>
      </c>
      <c r="AI25" s="114"/>
      <c r="AN25" s="211"/>
      <c r="AO25" s="211"/>
      <c r="AP25" s="211"/>
      <c r="AQ25" s="211"/>
      <c r="AR25" s="99"/>
      <c r="AS25" s="99"/>
    </row>
    <row r="26" spans="1:45" x14ac:dyDescent="0.25">
      <c r="G26" s="131"/>
      <c r="H26" s="131"/>
      <c r="I26" s="131"/>
      <c r="J26" s="131"/>
      <c r="K26" s="131"/>
      <c r="L26" s="131"/>
      <c r="M26" s="131"/>
      <c r="N26" s="131"/>
      <c r="O26" s="131"/>
      <c r="P26" s="131"/>
      <c r="Q26" s="131"/>
      <c r="R26" s="131"/>
      <c r="S26" s="131"/>
      <c r="T26" s="131"/>
      <c r="V26" s="114"/>
      <c r="W26" s="66"/>
      <c r="X26" s="131"/>
      <c r="AA26" s="131"/>
      <c r="AD26" s="131"/>
      <c r="AG26" s="131"/>
      <c r="AH26" s="131"/>
      <c r="AO26" s="50"/>
      <c r="AP26" s="50"/>
      <c r="AQ26" s="50"/>
    </row>
    <row r="27" spans="1:45" x14ac:dyDescent="0.25">
      <c r="B27" s="255"/>
      <c r="C27" s="256"/>
      <c r="D27" s="256"/>
      <c r="E27" s="257"/>
      <c r="F27" s="257"/>
      <c r="G27" s="257"/>
      <c r="H27" s="257"/>
      <c r="I27" s="133"/>
      <c r="J27" s="131"/>
      <c r="K27" s="131"/>
      <c r="L27" s="131"/>
      <c r="M27" s="131"/>
      <c r="N27" s="131"/>
      <c r="O27" s="131"/>
      <c r="P27" s="131"/>
      <c r="Q27" s="131"/>
      <c r="R27" s="131"/>
      <c r="S27" s="131"/>
      <c r="T27" s="131"/>
      <c r="V27" s="114"/>
      <c r="W27" s="114"/>
      <c r="X27" s="131"/>
      <c r="AA27" s="131"/>
      <c r="AD27" s="131"/>
      <c r="AE27" s="131"/>
    </row>
    <row r="28" spans="1:45" s="75" customFormat="1" x14ac:dyDescent="0.25">
      <c r="A28" s="70"/>
      <c r="B28" s="70"/>
      <c r="C28" s="71"/>
      <c r="D28" s="72"/>
      <c r="E28" s="72"/>
      <c r="F28" s="72"/>
      <c r="G28" s="72"/>
      <c r="H28" s="73"/>
      <c r="I28" s="73"/>
      <c r="J28" s="27"/>
      <c r="K28" s="27"/>
      <c r="L28" s="27"/>
      <c r="M28" s="27"/>
      <c r="N28" s="74"/>
      <c r="O28" s="27"/>
      <c r="P28" s="27"/>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75" customFormat="1" ht="59.25" customHeight="1" x14ac:dyDescent="0.25">
      <c r="A29" s="70"/>
      <c r="B29" s="70"/>
      <c r="C29" s="71"/>
      <c r="D29" s="77"/>
      <c r="E29" s="77"/>
      <c r="F29" s="27"/>
      <c r="G29" s="481" t="s">
        <v>140</v>
      </c>
      <c r="H29" s="481"/>
      <c r="I29" s="481" t="s">
        <v>145</v>
      </c>
      <c r="J29" s="481"/>
      <c r="K29" s="481" t="s">
        <v>128</v>
      </c>
      <c r="L29" s="481"/>
      <c r="Q29" s="27"/>
      <c r="R29" s="27"/>
      <c r="S29" s="27"/>
      <c r="T29" s="27"/>
      <c r="U29" s="27"/>
      <c r="V29" s="27"/>
      <c r="W29" s="27"/>
      <c r="X29" s="27"/>
      <c r="Y29" s="27"/>
      <c r="Z29" s="27"/>
      <c r="AA29" s="27"/>
      <c r="AB29" s="27"/>
      <c r="AC29" s="27"/>
      <c r="AD29" s="27"/>
      <c r="AE29" s="27"/>
      <c r="AF29" s="27"/>
      <c r="AG29" s="27"/>
      <c r="AH29" s="27"/>
      <c r="AI29" s="27"/>
      <c r="AJ29" s="76"/>
      <c r="AN29" s="76"/>
      <c r="AO29" s="76"/>
      <c r="AP29" s="76"/>
      <c r="AQ29" s="76"/>
      <c r="AR29" s="76"/>
    </row>
    <row r="30" spans="1:45" s="75" customFormat="1" x14ac:dyDescent="0.25">
      <c r="A30" s="70"/>
      <c r="B30" s="70"/>
      <c r="C30" s="71"/>
      <c r="D30" s="77"/>
      <c r="E30" s="77"/>
      <c r="F30" s="27"/>
      <c r="G30" s="279">
        <v>991</v>
      </c>
      <c r="H30" s="279">
        <v>992</v>
      </c>
      <c r="I30" s="279">
        <v>991</v>
      </c>
      <c r="J30" s="279">
        <v>992</v>
      </c>
      <c r="K30" s="279">
        <v>991</v>
      </c>
      <c r="L30" s="279">
        <v>992</v>
      </c>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x14ac:dyDescent="0.25">
      <c r="A31" s="70"/>
      <c r="B31" s="70"/>
      <c r="C31" s="71"/>
      <c r="D31" s="77"/>
      <c r="E31" s="77"/>
      <c r="F31" s="27"/>
      <c r="G31" s="29">
        <v>14722.5</v>
      </c>
      <c r="H31" s="29">
        <v>4245.1000000000004</v>
      </c>
      <c r="I31" s="29">
        <f>V25</f>
        <v>14722.5</v>
      </c>
      <c r="J31" s="29">
        <f>W25</f>
        <v>4305.6000000000004</v>
      </c>
      <c r="K31" s="29">
        <f>G31-I31</f>
        <v>0</v>
      </c>
      <c r="L31" s="29">
        <f>H31-J31</f>
        <v>-60.5</v>
      </c>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
      <c r="H32" s="80"/>
      <c r="I32" s="27"/>
      <c r="J32" s="80"/>
      <c r="K32" s="27"/>
      <c r="L32" s="27"/>
      <c r="M32" s="27"/>
      <c r="N32" s="74"/>
      <c r="O32" s="27"/>
      <c r="P32" s="27"/>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7"/>
      <c r="H33" s="80"/>
      <c r="I33" s="27"/>
      <c r="J33" s="80"/>
      <c r="K33" s="27"/>
      <c r="L33" s="27"/>
      <c r="M33" s="27"/>
      <c r="N33" s="74"/>
      <c r="O33" s="27"/>
      <c r="P33" s="27"/>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4" spans="1:44" s="75" customFormat="1" x14ac:dyDescent="0.25">
      <c r="A34" s="70"/>
      <c r="B34" s="70"/>
      <c r="C34" s="71"/>
      <c r="D34" s="77"/>
      <c r="E34" s="77"/>
      <c r="F34" s="27"/>
      <c r="G34" s="27"/>
      <c r="H34" s="80"/>
      <c r="I34" s="27"/>
      <c r="J34" s="80"/>
      <c r="K34" s="27"/>
      <c r="L34" s="27"/>
      <c r="M34" s="27"/>
      <c r="N34" s="74"/>
      <c r="O34" s="27"/>
      <c r="P34" s="27"/>
      <c r="Q34" s="27"/>
      <c r="R34" s="27"/>
      <c r="S34" s="27"/>
      <c r="T34" s="27"/>
      <c r="U34" s="27"/>
      <c r="V34" s="27"/>
      <c r="W34" s="27"/>
      <c r="X34" s="27"/>
      <c r="Y34" s="27"/>
      <c r="Z34" s="27"/>
      <c r="AA34" s="27"/>
      <c r="AB34" s="27"/>
      <c r="AC34" s="27"/>
      <c r="AD34" s="27"/>
      <c r="AE34" s="27"/>
      <c r="AF34" s="27"/>
      <c r="AG34" s="27"/>
      <c r="AH34" s="27"/>
      <c r="AI34" s="27"/>
      <c r="AJ34" s="76"/>
      <c r="AN34" s="76"/>
      <c r="AO34" s="76"/>
      <c r="AP34" s="76"/>
      <c r="AQ34" s="76"/>
      <c r="AR34" s="76"/>
    </row>
    <row r="35" spans="1:44" s="75" customFormat="1" x14ac:dyDescent="0.25">
      <c r="A35" s="70"/>
      <c r="B35" s="70"/>
      <c r="C35" s="71"/>
      <c r="D35" s="77"/>
      <c r="E35" s="77"/>
      <c r="F35" s="27"/>
      <c r="G35" s="27"/>
      <c r="H35" s="80"/>
      <c r="I35" s="27"/>
      <c r="J35" s="80"/>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J35" s="76"/>
      <c r="AN35" s="76"/>
      <c r="AO35" s="76"/>
      <c r="AP35" s="76"/>
      <c r="AQ35" s="76"/>
      <c r="AR35" s="76"/>
    </row>
    <row r="36" spans="1:44" s="282" customFormat="1" ht="21" x14ac:dyDescent="0.25">
      <c r="A36" s="81"/>
      <c r="B36" s="82" t="s">
        <v>138</v>
      </c>
      <c r="C36" s="83"/>
      <c r="D36" s="84"/>
      <c r="E36" s="84"/>
      <c r="F36" s="85"/>
      <c r="G36" s="85"/>
      <c r="H36" s="86"/>
      <c r="I36" s="86"/>
      <c r="J36" s="85"/>
      <c r="K36" s="30" t="s">
        <v>166</v>
      </c>
      <c r="L36" s="85"/>
      <c r="M36" s="85"/>
      <c r="N36" s="87"/>
      <c r="O36" s="85"/>
      <c r="P36" s="85"/>
      <c r="Q36" s="85"/>
      <c r="R36" s="85"/>
      <c r="S36" s="85"/>
      <c r="T36" s="85"/>
      <c r="U36" s="85"/>
      <c r="V36" s="85"/>
      <c r="W36" s="85"/>
      <c r="X36" s="85"/>
      <c r="Y36" s="85"/>
      <c r="Z36" s="85"/>
      <c r="AA36" s="85"/>
      <c r="AB36" s="85"/>
      <c r="AC36" s="85"/>
      <c r="AD36" s="85"/>
      <c r="AE36" s="85"/>
      <c r="AF36" s="85"/>
      <c r="AG36" s="85"/>
      <c r="AH36" s="85"/>
      <c r="AI36" s="85"/>
      <c r="AK36" s="88"/>
      <c r="AL36" s="88"/>
      <c r="AM36" s="88"/>
      <c r="AN36" s="88"/>
      <c r="AO36" s="88"/>
    </row>
    <row r="37" spans="1:44" s="143" customFormat="1" x14ac:dyDescent="0.25">
      <c r="A37" s="136"/>
      <c r="B37" s="136"/>
      <c r="C37" s="137"/>
      <c r="D37" s="144"/>
      <c r="E37" s="144"/>
      <c r="F37" s="140"/>
      <c r="G37" s="140"/>
      <c r="H37" s="139"/>
      <c r="I37" s="139"/>
      <c r="J37" s="140"/>
      <c r="K37" s="140"/>
      <c r="L37" s="140"/>
      <c r="M37" s="140"/>
      <c r="N37" s="141"/>
      <c r="O37" s="140"/>
      <c r="P37" s="140"/>
      <c r="Q37" s="140"/>
      <c r="R37" s="140"/>
      <c r="S37" s="140"/>
      <c r="T37" s="140"/>
      <c r="U37" s="140"/>
      <c r="V37" s="140"/>
      <c r="W37" s="140"/>
      <c r="X37" s="140"/>
      <c r="Y37" s="140"/>
      <c r="Z37" s="140"/>
      <c r="AA37" s="140"/>
      <c r="AB37" s="140"/>
      <c r="AC37" s="140"/>
      <c r="AD37" s="140"/>
      <c r="AE37" s="140"/>
      <c r="AF37" s="142"/>
      <c r="AK37" s="142"/>
      <c r="AL37" s="142"/>
      <c r="AM37" s="142"/>
      <c r="AN37" s="76"/>
      <c r="AO37" s="76"/>
      <c r="AP37" s="76"/>
      <c r="AQ37" s="76"/>
      <c r="AR37" s="99"/>
    </row>
    <row r="38" spans="1:44" s="143" customFormat="1" x14ac:dyDescent="0.25">
      <c r="A38" s="136"/>
      <c r="B38" s="136"/>
      <c r="C38" s="137"/>
      <c r="D38" s="144"/>
      <c r="E38" s="144"/>
      <c r="F38" s="140"/>
      <c r="G38" s="140"/>
      <c r="H38" s="139"/>
      <c r="I38" s="139"/>
      <c r="J38" s="140"/>
      <c r="K38" s="140"/>
      <c r="L38" s="140"/>
      <c r="M38" s="140"/>
      <c r="N38" s="202"/>
      <c r="O38" s="203"/>
      <c r="P38" s="140"/>
      <c r="Q38" s="140"/>
      <c r="R38" s="140"/>
      <c r="S38" s="140"/>
      <c r="T38" s="140"/>
      <c r="U38" s="140"/>
      <c r="V38" s="140"/>
      <c r="W38" s="140"/>
      <c r="X38" s="140"/>
      <c r="Y38" s="140"/>
      <c r="Z38" s="140"/>
      <c r="AA38" s="140"/>
      <c r="AB38" s="140"/>
      <c r="AC38" s="140"/>
      <c r="AD38" s="140"/>
      <c r="AE38" s="140"/>
      <c r="AF38" s="142"/>
      <c r="AK38" s="142"/>
      <c r="AL38" s="142"/>
      <c r="AM38" s="142"/>
      <c r="AN38" s="76"/>
      <c r="AO38" s="76"/>
      <c r="AP38" s="76"/>
      <c r="AQ38" s="76"/>
      <c r="AR38" s="252"/>
    </row>
    <row r="39" spans="1:44" s="143" customFormat="1" ht="20.25" customHeight="1" x14ac:dyDescent="0.25">
      <c r="A39" s="145" t="s">
        <v>96</v>
      </c>
      <c r="B39" s="145"/>
      <c r="C39" s="146"/>
      <c r="D39" s="146"/>
      <c r="E39" s="146"/>
      <c r="F39" s="146"/>
      <c r="G39" s="146"/>
      <c r="H39" s="146"/>
      <c r="I39" s="146"/>
      <c r="J39" s="146"/>
      <c r="K39" s="146"/>
      <c r="L39" s="147"/>
      <c r="M39" s="147"/>
      <c r="N39" s="202"/>
      <c r="O39" s="203"/>
      <c r="P39" s="147"/>
      <c r="Q39" s="147"/>
      <c r="R39" s="147"/>
      <c r="S39" s="147"/>
      <c r="T39" s="147"/>
      <c r="U39" s="147"/>
      <c r="V39" s="147"/>
      <c r="W39" s="147"/>
      <c r="X39" s="147"/>
      <c r="Y39" s="147"/>
      <c r="Z39" s="147"/>
      <c r="AA39" s="147"/>
      <c r="AB39" s="147"/>
      <c r="AC39" s="147"/>
      <c r="AD39" s="147"/>
      <c r="AE39" s="147"/>
      <c r="AF39" s="142"/>
      <c r="AK39" s="142"/>
      <c r="AL39" s="142"/>
      <c r="AM39" s="142"/>
      <c r="AN39" s="76"/>
      <c r="AO39" s="76"/>
      <c r="AP39" s="76"/>
      <c r="AQ39" s="76"/>
      <c r="AR39" s="99"/>
    </row>
    <row r="40" spans="1:44" s="143" customFormat="1" ht="20.25" customHeight="1" x14ac:dyDescent="0.25">
      <c r="A40" s="145" t="s">
        <v>139</v>
      </c>
      <c r="B40" s="149"/>
      <c r="C40" s="150"/>
      <c r="D40" s="150"/>
      <c r="E40" s="151"/>
      <c r="F40" s="151"/>
      <c r="G40" s="151"/>
      <c r="H40" s="151"/>
      <c r="I40" s="151"/>
      <c r="J40" s="151"/>
      <c r="K40" s="151"/>
      <c r="L40" s="147"/>
      <c r="M40" s="147"/>
      <c r="N40" s="202"/>
      <c r="O40" s="203"/>
      <c r="P40" s="147"/>
      <c r="Q40" s="147"/>
      <c r="R40" s="147"/>
      <c r="S40" s="147"/>
      <c r="T40" s="147"/>
      <c r="U40" s="147"/>
      <c r="V40" s="147"/>
      <c r="W40" s="147"/>
      <c r="X40" s="147"/>
      <c r="Y40" s="147"/>
      <c r="Z40" s="147"/>
      <c r="AA40" s="147"/>
      <c r="AB40" s="147"/>
      <c r="AC40" s="147"/>
      <c r="AD40" s="147"/>
      <c r="AE40" s="147"/>
      <c r="AF40" s="142"/>
      <c r="AK40" s="142"/>
      <c r="AL40" s="142"/>
      <c r="AM40" s="142"/>
      <c r="AN40" s="76"/>
      <c r="AO40" s="76"/>
      <c r="AP40" s="76"/>
      <c r="AQ40" s="76"/>
      <c r="AR40" s="252"/>
    </row>
    <row r="41" spans="1:44" x14ac:dyDescent="0.25">
      <c r="A41" s="99"/>
      <c r="I41" s="153"/>
      <c r="J41" s="153"/>
      <c r="W41" s="131"/>
      <c r="X41" s="131"/>
      <c r="AA41" s="131"/>
      <c r="AD41" s="131"/>
      <c r="AE41" s="131"/>
      <c r="AN41" s="76"/>
      <c r="AO41" s="76"/>
      <c r="AP41" s="76"/>
      <c r="AQ41" s="76"/>
      <c r="AR41" s="98"/>
    </row>
    <row r="42" spans="1:44" ht="16.8" x14ac:dyDescent="0.25">
      <c r="A42" s="258"/>
      <c r="W42" s="131"/>
      <c r="X42" s="131"/>
      <c r="AA42" s="131"/>
      <c r="AD42" s="131"/>
      <c r="AE42" s="131"/>
    </row>
    <row r="43" spans="1:44" x14ac:dyDescent="0.25">
      <c r="AG43" s="114"/>
    </row>
    <row r="45" spans="1:44" x14ac:dyDescent="0.25">
      <c r="E45" s="115"/>
    </row>
    <row r="46" spans="1:44" x14ac:dyDescent="0.25">
      <c r="E46" s="115"/>
    </row>
    <row r="47" spans="1:44" x14ac:dyDescent="0.25">
      <c r="E47" s="115"/>
      <c r="K47" s="153"/>
    </row>
    <row r="48" spans="1:44" x14ac:dyDescent="0.25">
      <c r="A48" s="99"/>
      <c r="E48" s="115"/>
    </row>
    <row r="49" spans="1:45" x14ac:dyDescent="0.25">
      <c r="A49" s="99"/>
      <c r="E49" s="115"/>
    </row>
    <row r="50" spans="1:45" x14ac:dyDescent="0.25">
      <c r="A50" s="99"/>
      <c r="E50" s="115"/>
    </row>
    <row r="51" spans="1:45" x14ac:dyDescent="0.25">
      <c r="A51" s="99"/>
      <c r="E51" s="115"/>
    </row>
    <row r="52" spans="1:45" x14ac:dyDescent="0.25">
      <c r="A52" s="99"/>
      <c r="E52" s="115"/>
    </row>
    <row r="53" spans="1:45" x14ac:dyDescent="0.25">
      <c r="A53" s="99"/>
      <c r="E53" s="115"/>
    </row>
    <row r="54" spans="1:45" x14ac:dyDescent="0.25">
      <c r="A54" s="99"/>
      <c r="E54" s="115"/>
    </row>
    <row r="55" spans="1:45" x14ac:dyDescent="0.25">
      <c r="A55" s="99"/>
      <c r="E55" s="115"/>
    </row>
    <row r="56" spans="1:45" x14ac:dyDescent="0.25">
      <c r="A56" s="99"/>
      <c r="E56" s="115"/>
    </row>
    <row r="57" spans="1:45" x14ac:dyDescent="0.25">
      <c r="A57" s="99"/>
      <c r="E57" s="115"/>
    </row>
    <row r="58" spans="1:45" x14ac:dyDescent="0.25">
      <c r="A58" s="99"/>
      <c r="E58" s="115"/>
    </row>
    <row r="59" spans="1:45" x14ac:dyDescent="0.25">
      <c r="A59" s="99"/>
      <c r="E59" s="115"/>
    </row>
    <row r="60" spans="1:45" s="211" customFormat="1" x14ac:dyDescent="0.25">
      <c r="A60" s="99"/>
      <c r="B60" s="99"/>
      <c r="C60" s="99"/>
      <c r="D60" s="99"/>
      <c r="E60" s="115"/>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R60" s="99"/>
      <c r="AS60" s="99"/>
    </row>
    <row r="61" spans="1:45" s="211" customFormat="1" x14ac:dyDescent="0.25">
      <c r="A61" s="99"/>
      <c r="B61" s="99"/>
      <c r="C61" s="99"/>
      <c r="D61" s="99"/>
      <c r="E61" s="115"/>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R61" s="99"/>
      <c r="AS61" s="99"/>
    </row>
    <row r="62" spans="1:45" s="211" customFormat="1" x14ac:dyDescent="0.25">
      <c r="A62" s="99"/>
      <c r="B62" s="99"/>
      <c r="C62" s="99"/>
      <c r="D62" s="99"/>
      <c r="E62" s="115"/>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R62" s="99"/>
      <c r="AS62" s="99"/>
    </row>
    <row r="63" spans="1:45" s="211" customFormat="1" x14ac:dyDescent="0.25">
      <c r="A63" s="99"/>
      <c r="B63" s="99"/>
      <c r="C63" s="99"/>
      <c r="D63" s="99"/>
      <c r="E63" s="115"/>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R63" s="99"/>
      <c r="AS63" s="99"/>
    </row>
    <row r="64" spans="1:45" s="211" customFormat="1" x14ac:dyDescent="0.25">
      <c r="A64" s="99"/>
      <c r="B64" s="99"/>
      <c r="C64" s="99"/>
      <c r="D64" s="99"/>
      <c r="E64" s="115"/>
      <c r="F64" s="99"/>
      <c r="G64" s="99"/>
      <c r="H64" s="99"/>
      <c r="I64" s="99"/>
      <c r="J64" s="99"/>
      <c r="K64" s="99"/>
      <c r="L64" s="99"/>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R64" s="99"/>
      <c r="AS64" s="99"/>
    </row>
    <row r="65" spans="1:45" s="211" customFormat="1" x14ac:dyDescent="0.25">
      <c r="A65" s="99"/>
      <c r="B65" s="99"/>
      <c r="C65" s="99"/>
      <c r="D65" s="99"/>
      <c r="E65" s="115"/>
      <c r="F65" s="99"/>
      <c r="G65" s="99"/>
      <c r="H65" s="99"/>
      <c r="I65" s="99"/>
      <c r="J65" s="99"/>
      <c r="K65" s="99"/>
      <c r="L65" s="99"/>
      <c r="M65" s="99"/>
      <c r="N65" s="99"/>
      <c r="O65" s="99"/>
      <c r="P65" s="99"/>
      <c r="Q65" s="99"/>
      <c r="R65" s="99"/>
      <c r="S65" s="99"/>
      <c r="T65" s="99"/>
      <c r="U65" s="99"/>
      <c r="V65" s="99"/>
      <c r="W65" s="99"/>
      <c r="X65" s="99"/>
      <c r="Y65" s="99"/>
      <c r="Z65" s="99"/>
      <c r="AA65" s="99"/>
      <c r="AB65" s="99"/>
      <c r="AC65" s="99"/>
      <c r="AD65" s="99"/>
      <c r="AE65" s="99"/>
      <c r="AF65" s="99"/>
      <c r="AG65" s="99"/>
      <c r="AH65" s="99"/>
      <c r="AI65" s="99"/>
      <c r="AJ65" s="99"/>
      <c r="AK65" s="99"/>
      <c r="AL65" s="99"/>
      <c r="AM65" s="99"/>
      <c r="AR65" s="99"/>
      <c r="AS65" s="99"/>
    </row>
    <row r="66" spans="1:45" s="211" customFormat="1" x14ac:dyDescent="0.25">
      <c r="A66" s="99"/>
      <c r="B66" s="99"/>
      <c r="C66" s="99"/>
      <c r="D66" s="99"/>
      <c r="E66" s="115"/>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c r="AG66" s="99"/>
      <c r="AH66" s="99"/>
      <c r="AI66" s="99"/>
      <c r="AJ66" s="99"/>
      <c r="AK66" s="99"/>
      <c r="AL66" s="99"/>
      <c r="AM66" s="99"/>
      <c r="AR66" s="99"/>
      <c r="AS66" s="99"/>
    </row>
  </sheetData>
  <autoFilter ref="A8:AS25"/>
  <mergeCells count="3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 ref="AH6:AH7"/>
    <mergeCell ref="U9:U24"/>
    <mergeCell ref="A25:B25"/>
    <mergeCell ref="S6:S7"/>
    <mergeCell ref="T6:T7"/>
    <mergeCell ref="U6:U7"/>
    <mergeCell ref="V6:V7"/>
    <mergeCell ref="W6:W7"/>
    <mergeCell ref="X6:Z6"/>
    <mergeCell ref="L6:L7"/>
    <mergeCell ref="F6:F7"/>
    <mergeCell ref="G6:G7"/>
    <mergeCell ref="H6:H7"/>
    <mergeCell ref="I6:I7"/>
    <mergeCell ref="R6:R7"/>
    <mergeCell ref="G29:H29"/>
    <mergeCell ref="I29:J29"/>
    <mergeCell ref="K29:L29"/>
    <mergeCell ref="AA6:AC6"/>
    <mergeCell ref="J6:J7"/>
    <mergeCell ref="K6:K7"/>
  </mergeCells>
  <printOptions horizontalCentered="1"/>
  <pageMargins left="0" right="0" top="0" bottom="0" header="0.31496062992125984" footer="0.31496062992125984"/>
  <pageSetup paperSize="9" scale="39"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S68"/>
  <sheetViews>
    <sheetView view="pageBreakPreview" zoomScale="80" zoomScaleNormal="70" zoomScaleSheetLayoutView="80" workbookViewId="0">
      <pane xSplit="3" ySplit="8" topLeftCell="D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8" x14ac:dyDescent="0.25"/>
  <cols>
    <col min="1" max="1" width="10.33203125" style="99" customWidth="1"/>
    <col min="2" max="2" width="30.77734375" style="99" customWidth="1"/>
    <col min="3" max="22" width="13.44140625" style="99" customWidth="1"/>
    <col min="23" max="23" width="12" style="99" customWidth="1"/>
    <col min="24" max="24" width="11.44140625" style="99" customWidth="1"/>
    <col min="25" max="25" width="12.33203125" style="99" customWidth="1"/>
    <col min="26" max="26" width="9.6640625" style="99" customWidth="1"/>
    <col min="27" max="32" width="8.44140625" style="99" customWidth="1"/>
    <col min="33" max="33" width="9.33203125" style="99" customWidth="1"/>
    <col min="34" max="34" width="10.6640625" style="99" customWidth="1"/>
    <col min="35" max="35" width="13.44140625" style="99" customWidth="1"/>
    <col min="36" max="36" width="12.6640625" style="99" customWidth="1"/>
    <col min="37" max="37" width="13" style="99" bestFit="1" customWidth="1"/>
    <col min="38" max="38" width="0" style="99" hidden="1" customWidth="1"/>
    <col min="39" max="39" width="13" style="99" hidden="1" customWidth="1"/>
    <col min="40" max="42" width="9.33203125" style="211"/>
    <col min="43" max="43" width="11.33203125" style="211" bestFit="1" customWidth="1"/>
    <col min="44" max="16384" width="9.33203125" style="99"/>
  </cols>
  <sheetData>
    <row r="1" spans="1:45" ht="22.5" customHeight="1" x14ac:dyDescent="0.25">
      <c r="AE1" s="499"/>
      <c r="AF1" s="499"/>
      <c r="AG1" s="499"/>
      <c r="AH1" s="499"/>
    </row>
    <row r="2" spans="1:45" ht="24" customHeight="1" x14ac:dyDescent="0.25">
      <c r="A2" s="500" t="s">
        <v>164</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c r="AI2" s="235"/>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c r="AI3" s="287"/>
    </row>
    <row r="4" spans="1:45" x14ac:dyDescent="0.25">
      <c r="L4" s="38">
        <v>0.27208500000000002</v>
      </c>
      <c r="M4" s="38"/>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68</v>
      </c>
      <c r="E6" s="492" t="s">
        <v>69</v>
      </c>
      <c r="F6" s="492" t="s">
        <v>89</v>
      </c>
      <c r="G6" s="492" t="s">
        <v>1</v>
      </c>
      <c r="H6" s="492" t="s">
        <v>2</v>
      </c>
      <c r="I6" s="492" t="s">
        <v>70</v>
      </c>
      <c r="J6" s="492" t="s">
        <v>61</v>
      </c>
      <c r="K6" s="492" t="s">
        <v>27</v>
      </c>
      <c r="L6" s="495" t="s">
        <v>65</v>
      </c>
      <c r="M6" s="495" t="s">
        <v>86</v>
      </c>
      <c r="N6" s="496" t="s">
        <v>90</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286" t="s">
        <v>80</v>
      </c>
      <c r="O7" s="286" t="s">
        <v>81</v>
      </c>
      <c r="P7" s="496"/>
      <c r="Q7" s="495"/>
      <c r="R7" s="492"/>
      <c r="S7" s="495" t="s">
        <v>67</v>
      </c>
      <c r="T7" s="492"/>
      <c r="U7" s="492"/>
      <c r="V7" s="492"/>
      <c r="W7" s="492"/>
      <c r="X7" s="285" t="s">
        <v>5</v>
      </c>
      <c r="Y7" s="285" t="s">
        <v>6</v>
      </c>
      <c r="Z7" s="285" t="s">
        <v>74</v>
      </c>
      <c r="AA7" s="285" t="s">
        <v>5</v>
      </c>
      <c r="AB7" s="285" t="s">
        <v>6</v>
      </c>
      <c r="AC7" s="285" t="s">
        <v>75</v>
      </c>
      <c r="AD7" s="285" t="s">
        <v>5</v>
      </c>
      <c r="AE7" s="285" t="s">
        <v>6</v>
      </c>
      <c r="AF7" s="285" t="s">
        <v>76</v>
      </c>
      <c r="AG7" s="493"/>
      <c r="AH7" s="493"/>
      <c r="AK7" s="99" t="s">
        <v>64</v>
      </c>
      <c r="AL7" s="99" t="s">
        <v>62</v>
      </c>
      <c r="AM7" s="99" t="s">
        <v>63</v>
      </c>
    </row>
    <row r="8" spans="1:45" ht="18" customHeight="1" x14ac:dyDescent="0.25">
      <c r="A8" s="284">
        <v>1</v>
      </c>
      <c r="B8" s="284">
        <v>2</v>
      </c>
      <c r="C8" s="284">
        <v>3</v>
      </c>
      <c r="D8" s="284">
        <v>4</v>
      </c>
      <c r="E8" s="284">
        <v>5</v>
      </c>
      <c r="F8" s="284">
        <v>6</v>
      </c>
      <c r="G8" s="284">
        <v>7</v>
      </c>
      <c r="H8" s="284">
        <v>8</v>
      </c>
      <c r="I8" s="284">
        <v>9</v>
      </c>
      <c r="J8" s="284">
        <v>10</v>
      </c>
      <c r="K8" s="284">
        <v>11</v>
      </c>
      <c r="L8" s="284">
        <v>12</v>
      </c>
      <c r="M8" s="284">
        <v>13</v>
      </c>
      <c r="N8" s="284">
        <v>14</v>
      </c>
      <c r="O8" s="284">
        <v>15</v>
      </c>
      <c r="P8" s="284">
        <v>16</v>
      </c>
      <c r="Q8" s="284">
        <v>17</v>
      </c>
      <c r="R8" s="284">
        <v>18</v>
      </c>
      <c r="S8" s="284">
        <v>19</v>
      </c>
      <c r="T8" s="284">
        <v>20</v>
      </c>
      <c r="U8" s="284">
        <v>21</v>
      </c>
      <c r="V8" s="284">
        <v>22</v>
      </c>
      <c r="W8" s="284">
        <v>23</v>
      </c>
      <c r="X8" s="284">
        <v>24</v>
      </c>
      <c r="Y8" s="284">
        <v>25</v>
      </c>
      <c r="Z8" s="284">
        <v>26</v>
      </c>
      <c r="AA8" s="284">
        <v>27</v>
      </c>
      <c r="AB8" s="284">
        <v>28</v>
      </c>
      <c r="AC8" s="284">
        <v>29</v>
      </c>
      <c r="AD8" s="284">
        <v>30</v>
      </c>
      <c r="AE8" s="284">
        <v>31</v>
      </c>
      <c r="AF8" s="284">
        <v>32</v>
      </c>
      <c r="AG8" s="284">
        <v>33</v>
      </c>
      <c r="AH8" s="284">
        <v>34</v>
      </c>
      <c r="AN8" s="212" t="s">
        <v>116</v>
      </c>
      <c r="AO8" s="212" t="s">
        <v>117</v>
      </c>
      <c r="AP8" s="212" t="s">
        <v>118</v>
      </c>
      <c r="AQ8" s="212" t="s">
        <v>119</v>
      </c>
    </row>
    <row r="9" spans="1:45" ht="16.5" customHeight="1" x14ac:dyDescent="0.25">
      <c r="A9" s="284">
        <v>1</v>
      </c>
      <c r="B9" s="236" t="s">
        <v>14</v>
      </c>
      <c r="C9" s="259">
        <v>1</v>
      </c>
      <c r="D9" s="237">
        <v>25.873000000000001</v>
      </c>
      <c r="E9" s="260">
        <f t="shared" ref="E9:E27" si="0">C9*D9</f>
        <v>25.87</v>
      </c>
      <c r="F9" s="185">
        <f t="shared" ref="F9:F27" si="1">E9*12</f>
        <v>310.39999999999998</v>
      </c>
      <c r="G9" s="95"/>
      <c r="H9" s="95"/>
      <c r="I9" s="95"/>
      <c r="J9" s="95"/>
      <c r="K9" s="95"/>
      <c r="L9" s="95">
        <f>F9*$L$4</f>
        <v>84.5</v>
      </c>
      <c r="M9" s="95">
        <f t="shared" ref="M9:M27" si="2">F9+G9+H9+I9+J9+K9+L9</f>
        <v>394.9</v>
      </c>
      <c r="N9" s="111">
        <v>0.47</v>
      </c>
      <c r="O9" s="95">
        <f t="shared" ref="O9:O27" si="3">M9*N9</f>
        <v>185.6</v>
      </c>
      <c r="P9" s="95">
        <f t="shared" ref="P9:P27" si="4">M9+O9</f>
        <v>580.5</v>
      </c>
      <c r="Q9" s="95">
        <f t="shared" ref="Q9:Q27" si="5">P9*0.8</f>
        <v>464.4</v>
      </c>
      <c r="R9" s="95">
        <f t="shared" ref="R9:R27" si="6">P9*0.8</f>
        <v>464.4</v>
      </c>
      <c r="S9" s="95">
        <f t="shared" ref="S9:S27" si="7">(P9+Q9+R9)*0.032</f>
        <v>48.3</v>
      </c>
      <c r="T9" s="95">
        <f t="shared" ref="T9:T27" si="8">P9+Q9+R9+S9</f>
        <v>1557.6</v>
      </c>
      <c r="U9" s="689">
        <v>1</v>
      </c>
      <c r="V9" s="95">
        <f t="shared" ref="V9:V26" si="9">T9*$U$9</f>
        <v>1557.6</v>
      </c>
      <c r="W9" s="95">
        <f>AQ9</f>
        <v>401.5</v>
      </c>
      <c r="X9" s="284">
        <v>1</v>
      </c>
      <c r="Y9" s="112">
        <v>30</v>
      </c>
      <c r="Z9" s="113">
        <f t="shared" ref="Z9:Z27" si="10">X9*Y9</f>
        <v>30</v>
      </c>
      <c r="AA9" s="284"/>
      <c r="AB9" s="112">
        <v>15</v>
      </c>
      <c r="AC9" s="113">
        <f t="shared" ref="AC9:AC27" si="11">AA9*AB9</f>
        <v>0</v>
      </c>
      <c r="AD9" s="284"/>
      <c r="AE9" s="112">
        <v>30</v>
      </c>
      <c r="AF9" s="113">
        <f t="shared" ref="AF9:AF27" si="12">AD9*AE9</f>
        <v>0</v>
      </c>
      <c r="AG9" s="113">
        <f t="shared" ref="AG9:AG27" si="13">(Z9+AC9+AF9)*1%*30</f>
        <v>9</v>
      </c>
      <c r="AH9" s="113">
        <f t="shared" ref="AH9:AH27" si="14">Z9+AC9+AF9+AG9</f>
        <v>39</v>
      </c>
      <c r="AI9" s="131">
        <f t="shared" ref="AI9:AI23" si="15">V9/12/C9*1000</f>
        <v>129800</v>
      </c>
      <c r="AK9" s="114">
        <f t="shared" ref="AK9:AK23" si="16">V9/C9</f>
        <v>1557.6</v>
      </c>
      <c r="AL9" s="114">
        <f>((979*0.302)+((AK9-979)*0.182))</f>
        <v>401</v>
      </c>
      <c r="AM9" s="115">
        <f>AL9/AK9</f>
        <v>0.25700000000000001</v>
      </c>
      <c r="AN9" s="50">
        <f>1150*0.22+(AK9-1150)*0.1</f>
        <v>293.8</v>
      </c>
      <c r="AO9" s="50">
        <f>865*0.029</f>
        <v>25.1</v>
      </c>
      <c r="AP9" s="50">
        <f>AK9*0.053</f>
        <v>82.6</v>
      </c>
      <c r="AQ9" s="50">
        <f>SUM(AN9:AP9)*C9</f>
        <v>401.5</v>
      </c>
      <c r="AS9" s="99">
        <f t="shared" ref="AS9:AS27" si="17">D9*1.5</f>
        <v>38.8095</v>
      </c>
    </row>
    <row r="10" spans="1:45" x14ac:dyDescent="0.25">
      <c r="A10" s="284">
        <v>2</v>
      </c>
      <c r="B10" s="236" t="s">
        <v>127</v>
      </c>
      <c r="C10" s="259">
        <v>2</v>
      </c>
      <c r="D10" s="237">
        <v>18.111000000000001</v>
      </c>
      <c r="E10" s="260">
        <f t="shared" si="0"/>
        <v>36.22</v>
      </c>
      <c r="F10" s="185">
        <f t="shared" si="1"/>
        <v>434.6</v>
      </c>
      <c r="G10" s="95"/>
      <c r="H10" s="95">
        <f>7.062+7.945</f>
        <v>15</v>
      </c>
      <c r="I10" s="95"/>
      <c r="J10" s="95"/>
      <c r="K10" s="95">
        <f>(D10*0.4+D10*0.2)*12</f>
        <v>130.4</v>
      </c>
      <c r="L10" s="95">
        <f t="shared" ref="L10:L25" si="18">F10*$L$4</f>
        <v>118.2</v>
      </c>
      <c r="M10" s="95">
        <f t="shared" si="2"/>
        <v>698.2</v>
      </c>
      <c r="N10" s="111">
        <v>0.47</v>
      </c>
      <c r="O10" s="95">
        <f t="shared" si="3"/>
        <v>328.2</v>
      </c>
      <c r="P10" s="95">
        <f t="shared" si="4"/>
        <v>1026.4000000000001</v>
      </c>
      <c r="Q10" s="95">
        <f t="shared" si="5"/>
        <v>821.1</v>
      </c>
      <c r="R10" s="95">
        <f t="shared" si="6"/>
        <v>821.1</v>
      </c>
      <c r="S10" s="95">
        <f t="shared" si="7"/>
        <v>85.4</v>
      </c>
      <c r="T10" s="95">
        <f t="shared" si="8"/>
        <v>2754</v>
      </c>
      <c r="U10" s="690"/>
      <c r="V10" s="95">
        <f t="shared" si="9"/>
        <v>2754</v>
      </c>
      <c r="W10" s="95">
        <f>AQ10</f>
        <v>747.6</v>
      </c>
      <c r="X10" s="284"/>
      <c r="Y10" s="112">
        <v>30</v>
      </c>
      <c r="Z10" s="113">
        <f t="shared" si="10"/>
        <v>0</v>
      </c>
      <c r="AA10" s="284"/>
      <c r="AB10" s="112">
        <v>15</v>
      </c>
      <c r="AC10" s="113">
        <f t="shared" si="11"/>
        <v>0</v>
      </c>
      <c r="AD10" s="284"/>
      <c r="AE10" s="112">
        <v>30</v>
      </c>
      <c r="AF10" s="113">
        <f t="shared" si="12"/>
        <v>0</v>
      </c>
      <c r="AG10" s="113">
        <f t="shared" si="13"/>
        <v>0</v>
      </c>
      <c r="AH10" s="113">
        <f t="shared" si="14"/>
        <v>0</v>
      </c>
      <c r="AI10" s="131">
        <f t="shared" si="15"/>
        <v>114750</v>
      </c>
      <c r="AK10" s="114">
        <f t="shared" si="16"/>
        <v>1377</v>
      </c>
      <c r="AL10" s="114">
        <f t="shared" ref="AL10:AL27" si="19">((979*0.302)+((AK10-979)*0.182))</f>
        <v>368.1</v>
      </c>
      <c r="AM10" s="115">
        <f>AL10/AK10</f>
        <v>0.26700000000000002</v>
      </c>
      <c r="AN10" s="50">
        <f>1150*0.22+(AK10-1150)*0.1</f>
        <v>275.7</v>
      </c>
      <c r="AO10" s="50">
        <f>865*0.029</f>
        <v>25.1</v>
      </c>
      <c r="AP10" s="50">
        <f>AK10*0.053</f>
        <v>73</v>
      </c>
      <c r="AQ10" s="50">
        <f>SUM(AN10:AP10)*C10</f>
        <v>747.6</v>
      </c>
      <c r="AS10" s="99">
        <f t="shared" si="17"/>
        <v>27.166499999999999</v>
      </c>
    </row>
    <row r="11" spans="1:45" ht="15.75" customHeight="1" x14ac:dyDescent="0.25">
      <c r="A11" s="284">
        <v>3</v>
      </c>
      <c r="B11" s="261" t="s">
        <v>23</v>
      </c>
      <c r="C11" s="262">
        <v>4</v>
      </c>
      <c r="D11" s="237">
        <v>11.061999999999999</v>
      </c>
      <c r="E11" s="111">
        <f t="shared" si="0"/>
        <v>44.25</v>
      </c>
      <c r="F11" s="95">
        <f t="shared" si="1"/>
        <v>531</v>
      </c>
      <c r="G11" s="95"/>
      <c r="H11" s="95">
        <f>2.757+7.01+7.01+7.789</f>
        <v>24.6</v>
      </c>
      <c r="I11" s="95"/>
      <c r="J11" s="95"/>
      <c r="K11" s="95">
        <f>(D11*0.4*3+D11*0.25)*12</f>
        <v>192.5</v>
      </c>
      <c r="L11" s="95">
        <f t="shared" si="18"/>
        <v>144.5</v>
      </c>
      <c r="M11" s="95">
        <f t="shared" si="2"/>
        <v>892.6</v>
      </c>
      <c r="N11" s="111">
        <v>0.43</v>
      </c>
      <c r="O11" s="95">
        <f t="shared" si="3"/>
        <v>383.8</v>
      </c>
      <c r="P11" s="95">
        <f t="shared" si="4"/>
        <v>1276.4000000000001</v>
      </c>
      <c r="Q11" s="95">
        <f t="shared" si="5"/>
        <v>1021.1</v>
      </c>
      <c r="R11" s="95">
        <f t="shared" si="6"/>
        <v>1021.1</v>
      </c>
      <c r="S11" s="95">
        <f t="shared" si="7"/>
        <v>106.2</v>
      </c>
      <c r="T11" s="95">
        <f t="shared" si="8"/>
        <v>3424.8</v>
      </c>
      <c r="U11" s="690"/>
      <c r="V11" s="95">
        <f>T11*$U$9</f>
        <v>3424.8</v>
      </c>
      <c r="W11" s="95">
        <f>V11*0.302</f>
        <v>1034.3</v>
      </c>
      <c r="X11" s="239">
        <v>2</v>
      </c>
      <c r="Y11" s="240">
        <v>30</v>
      </c>
      <c r="Z11" s="241">
        <f t="shared" si="10"/>
        <v>60</v>
      </c>
      <c r="AA11" s="239"/>
      <c r="AB11" s="240">
        <v>15</v>
      </c>
      <c r="AC11" s="241">
        <f t="shared" si="11"/>
        <v>0</v>
      </c>
      <c r="AD11" s="239">
        <v>2</v>
      </c>
      <c r="AE11" s="240">
        <v>30</v>
      </c>
      <c r="AF11" s="241">
        <f t="shared" si="12"/>
        <v>60</v>
      </c>
      <c r="AG11" s="241">
        <f t="shared" si="13"/>
        <v>36</v>
      </c>
      <c r="AH11" s="241">
        <f t="shared" si="14"/>
        <v>156</v>
      </c>
      <c r="AI11" s="131">
        <f t="shared" si="15"/>
        <v>71350</v>
      </c>
      <c r="AK11" s="114">
        <f t="shared" si="16"/>
        <v>856.2</v>
      </c>
      <c r="AL11" s="114">
        <f t="shared" si="19"/>
        <v>273.3</v>
      </c>
      <c r="AM11" s="115">
        <v>0.30199999999999999</v>
      </c>
      <c r="AN11" s="50"/>
      <c r="AO11" s="50"/>
      <c r="AP11" s="50"/>
      <c r="AQ11" s="50"/>
      <c r="AS11" s="99">
        <f t="shared" si="17"/>
        <v>16.593</v>
      </c>
    </row>
    <row r="12" spans="1:45" x14ac:dyDescent="0.25">
      <c r="A12" s="284">
        <v>4</v>
      </c>
      <c r="B12" s="261" t="s">
        <v>47</v>
      </c>
      <c r="C12" s="262">
        <v>1</v>
      </c>
      <c r="D12" s="237">
        <v>6.2859999999999996</v>
      </c>
      <c r="E12" s="111">
        <f t="shared" si="0"/>
        <v>6.29</v>
      </c>
      <c r="F12" s="95">
        <f t="shared" si="1"/>
        <v>75.5</v>
      </c>
      <c r="G12" s="95"/>
      <c r="H12" s="95">
        <f>3064.3/1000</f>
        <v>3.1</v>
      </c>
      <c r="I12" s="95"/>
      <c r="J12" s="95"/>
      <c r="K12" s="95">
        <f>F12*0.25</f>
        <v>18.899999999999999</v>
      </c>
      <c r="L12" s="95">
        <f t="shared" si="18"/>
        <v>20.5</v>
      </c>
      <c r="M12" s="95">
        <f t="shared" si="2"/>
        <v>118</v>
      </c>
      <c r="N12" s="111">
        <v>0.45</v>
      </c>
      <c r="O12" s="95">
        <f t="shared" si="3"/>
        <v>53.1</v>
      </c>
      <c r="P12" s="95">
        <f t="shared" si="4"/>
        <v>171.1</v>
      </c>
      <c r="Q12" s="95">
        <f t="shared" si="5"/>
        <v>136.9</v>
      </c>
      <c r="R12" s="95">
        <f t="shared" si="6"/>
        <v>136.9</v>
      </c>
      <c r="S12" s="95">
        <f t="shared" si="7"/>
        <v>14.2</v>
      </c>
      <c r="T12" s="95">
        <f t="shared" si="8"/>
        <v>459.1</v>
      </c>
      <c r="U12" s="690"/>
      <c r="V12" s="95">
        <f t="shared" si="9"/>
        <v>459.1</v>
      </c>
      <c r="W12" s="95">
        <f t="shared" ref="W12:W27" si="20">V12*0.302</f>
        <v>138.6</v>
      </c>
      <c r="X12" s="239">
        <v>1</v>
      </c>
      <c r="Y12" s="240">
        <v>30</v>
      </c>
      <c r="Z12" s="241">
        <f t="shared" si="10"/>
        <v>30</v>
      </c>
      <c r="AA12" s="239"/>
      <c r="AB12" s="240">
        <v>15</v>
      </c>
      <c r="AC12" s="241">
        <f t="shared" si="11"/>
        <v>0</v>
      </c>
      <c r="AD12" s="239"/>
      <c r="AE12" s="240">
        <v>30</v>
      </c>
      <c r="AF12" s="241">
        <f t="shared" si="12"/>
        <v>0</v>
      </c>
      <c r="AG12" s="241">
        <f t="shared" si="13"/>
        <v>9</v>
      </c>
      <c r="AH12" s="241">
        <f t="shared" si="14"/>
        <v>39</v>
      </c>
      <c r="AI12" s="131">
        <f t="shared" si="15"/>
        <v>38258.33</v>
      </c>
      <c r="AK12" s="114">
        <f t="shared" si="16"/>
        <v>459.1</v>
      </c>
      <c r="AL12" s="114">
        <f t="shared" si="19"/>
        <v>201</v>
      </c>
      <c r="AM12" s="115">
        <v>0.30199999999999999</v>
      </c>
      <c r="AO12" s="50"/>
      <c r="AP12" s="50"/>
      <c r="AQ12" s="50"/>
      <c r="AS12" s="99">
        <f t="shared" si="17"/>
        <v>9.4290000000000003</v>
      </c>
    </row>
    <row r="13" spans="1:45" x14ac:dyDescent="0.25">
      <c r="A13" s="284">
        <v>5</v>
      </c>
      <c r="B13" s="236" t="s">
        <v>15</v>
      </c>
      <c r="C13" s="262">
        <v>1</v>
      </c>
      <c r="D13" s="237">
        <v>11.061999999999999</v>
      </c>
      <c r="E13" s="111">
        <f t="shared" si="0"/>
        <v>11.06</v>
      </c>
      <c r="F13" s="95">
        <f t="shared" si="1"/>
        <v>132.69999999999999</v>
      </c>
      <c r="G13" s="95"/>
      <c r="H13" s="95"/>
      <c r="I13" s="95"/>
      <c r="J13" s="95"/>
      <c r="K13" s="95">
        <f>D11*0.25*4.6+D11*0.3*7.4</f>
        <v>37.299999999999997</v>
      </c>
      <c r="L13" s="95">
        <f t="shared" si="18"/>
        <v>36.1</v>
      </c>
      <c r="M13" s="95">
        <f t="shared" si="2"/>
        <v>206.1</v>
      </c>
      <c r="N13" s="111">
        <v>0.43</v>
      </c>
      <c r="O13" s="95">
        <f t="shared" si="3"/>
        <v>88.6</v>
      </c>
      <c r="P13" s="95">
        <f t="shared" si="4"/>
        <v>294.7</v>
      </c>
      <c r="Q13" s="95">
        <f t="shared" si="5"/>
        <v>235.8</v>
      </c>
      <c r="R13" s="95">
        <f t="shared" si="6"/>
        <v>235.8</v>
      </c>
      <c r="S13" s="95">
        <f t="shared" si="7"/>
        <v>24.5</v>
      </c>
      <c r="T13" s="95">
        <f t="shared" si="8"/>
        <v>790.8</v>
      </c>
      <c r="U13" s="690"/>
      <c r="V13" s="95">
        <f t="shared" si="9"/>
        <v>790.8</v>
      </c>
      <c r="W13" s="95">
        <f t="shared" si="20"/>
        <v>238.8</v>
      </c>
      <c r="X13" s="239"/>
      <c r="Y13" s="240">
        <v>30</v>
      </c>
      <c r="Z13" s="241">
        <f t="shared" si="10"/>
        <v>0</v>
      </c>
      <c r="AA13" s="239"/>
      <c r="AB13" s="240">
        <v>15</v>
      </c>
      <c r="AC13" s="241">
        <f t="shared" si="11"/>
        <v>0</v>
      </c>
      <c r="AD13" s="239"/>
      <c r="AE13" s="240">
        <v>30</v>
      </c>
      <c r="AF13" s="241">
        <f t="shared" si="12"/>
        <v>0</v>
      </c>
      <c r="AG13" s="241">
        <f t="shared" si="13"/>
        <v>0</v>
      </c>
      <c r="AH13" s="241">
        <f t="shared" si="14"/>
        <v>0</v>
      </c>
      <c r="AI13" s="131">
        <f t="shared" si="15"/>
        <v>65900</v>
      </c>
      <c r="AK13" s="114">
        <f t="shared" si="16"/>
        <v>790.8</v>
      </c>
      <c r="AL13" s="114">
        <f t="shared" si="19"/>
        <v>261.39999999999998</v>
      </c>
      <c r="AM13" s="115">
        <v>0.30199999999999999</v>
      </c>
      <c r="AN13" s="50"/>
      <c r="AO13" s="50"/>
      <c r="AP13" s="50"/>
      <c r="AQ13" s="50"/>
      <c r="AS13" s="99">
        <f t="shared" si="17"/>
        <v>16.593</v>
      </c>
    </row>
    <row r="14" spans="1:45" s="245" customFormat="1" x14ac:dyDescent="0.25">
      <c r="A14" s="284">
        <v>6</v>
      </c>
      <c r="B14" s="261" t="s">
        <v>48</v>
      </c>
      <c r="C14" s="262">
        <v>1</v>
      </c>
      <c r="D14" s="237">
        <v>11.061999999999999</v>
      </c>
      <c r="E14" s="249">
        <f t="shared" si="0"/>
        <v>11.06</v>
      </c>
      <c r="F14" s="248">
        <f t="shared" si="1"/>
        <v>132.69999999999999</v>
      </c>
      <c r="G14" s="248"/>
      <c r="H14" s="248">
        <v>7</v>
      </c>
      <c r="I14" s="248"/>
      <c r="J14" s="248"/>
      <c r="K14" s="248">
        <f>F14*0.4</f>
        <v>53.1</v>
      </c>
      <c r="L14" s="95">
        <f t="shared" si="18"/>
        <v>36.1</v>
      </c>
      <c r="M14" s="248">
        <f t="shared" si="2"/>
        <v>228.9</v>
      </c>
      <c r="N14" s="111">
        <v>0.47</v>
      </c>
      <c r="O14" s="248">
        <f t="shared" si="3"/>
        <v>107.6</v>
      </c>
      <c r="P14" s="248">
        <f t="shared" si="4"/>
        <v>336.5</v>
      </c>
      <c r="Q14" s="248">
        <f t="shared" si="5"/>
        <v>269.2</v>
      </c>
      <c r="R14" s="248">
        <f t="shared" si="6"/>
        <v>269.2</v>
      </c>
      <c r="S14" s="248">
        <f t="shared" si="7"/>
        <v>28</v>
      </c>
      <c r="T14" s="248">
        <f t="shared" si="8"/>
        <v>902.9</v>
      </c>
      <c r="U14" s="690"/>
      <c r="V14" s="248">
        <f t="shared" si="9"/>
        <v>902.9</v>
      </c>
      <c r="W14" s="95">
        <f>AQ14</f>
        <v>271.60000000000002</v>
      </c>
      <c r="X14" s="239"/>
      <c r="Y14" s="240">
        <v>30</v>
      </c>
      <c r="Z14" s="241">
        <f t="shared" si="10"/>
        <v>0</v>
      </c>
      <c r="AA14" s="239"/>
      <c r="AB14" s="240">
        <v>15</v>
      </c>
      <c r="AC14" s="241">
        <f t="shared" si="11"/>
        <v>0</v>
      </c>
      <c r="AD14" s="239"/>
      <c r="AE14" s="240">
        <v>30</v>
      </c>
      <c r="AF14" s="241">
        <f t="shared" si="12"/>
        <v>0</v>
      </c>
      <c r="AG14" s="241">
        <f t="shared" si="13"/>
        <v>0</v>
      </c>
      <c r="AH14" s="241">
        <f t="shared" si="14"/>
        <v>0</v>
      </c>
      <c r="AI14" s="131">
        <f t="shared" si="15"/>
        <v>75241.67</v>
      </c>
      <c r="AK14" s="114">
        <f t="shared" si="16"/>
        <v>902.9</v>
      </c>
      <c r="AL14" s="114">
        <f t="shared" si="19"/>
        <v>281.8</v>
      </c>
      <c r="AM14" s="115">
        <v>0.30199999999999999</v>
      </c>
      <c r="AN14" s="50">
        <f>AK14*0.22</f>
        <v>198.6</v>
      </c>
      <c r="AO14" s="50">
        <f>865*0.029</f>
        <v>25.1</v>
      </c>
      <c r="AP14" s="50">
        <f>AK14*0.053</f>
        <v>47.9</v>
      </c>
      <c r="AQ14" s="50">
        <f>SUM(AN14:AP14)*C14</f>
        <v>271.60000000000002</v>
      </c>
      <c r="AS14" s="99">
        <f t="shared" si="17"/>
        <v>16.593</v>
      </c>
    </row>
    <row r="15" spans="1:45" x14ac:dyDescent="0.25">
      <c r="A15" s="284">
        <v>7</v>
      </c>
      <c r="B15" s="236" t="s">
        <v>49</v>
      </c>
      <c r="C15" s="259">
        <v>1</v>
      </c>
      <c r="D15" s="237">
        <v>8.4730000000000008</v>
      </c>
      <c r="E15" s="111">
        <f t="shared" si="0"/>
        <v>8.4700000000000006</v>
      </c>
      <c r="F15" s="95">
        <f t="shared" si="1"/>
        <v>101.6</v>
      </c>
      <c r="G15" s="95"/>
      <c r="H15" s="95">
        <v>6</v>
      </c>
      <c r="I15" s="95"/>
      <c r="J15" s="95"/>
      <c r="K15" s="95">
        <f>F15*0.2</f>
        <v>20.3</v>
      </c>
      <c r="L15" s="95">
        <f t="shared" si="18"/>
        <v>27.6</v>
      </c>
      <c r="M15" s="95">
        <f t="shared" si="2"/>
        <v>155.5</v>
      </c>
      <c r="N15" s="111">
        <v>0.41</v>
      </c>
      <c r="O15" s="95">
        <f t="shared" si="3"/>
        <v>63.8</v>
      </c>
      <c r="P15" s="95">
        <f t="shared" si="4"/>
        <v>219.3</v>
      </c>
      <c r="Q15" s="95">
        <f t="shared" si="5"/>
        <v>175.4</v>
      </c>
      <c r="R15" s="95">
        <f t="shared" si="6"/>
        <v>175.4</v>
      </c>
      <c r="S15" s="95">
        <f t="shared" si="7"/>
        <v>18.2</v>
      </c>
      <c r="T15" s="95">
        <f t="shared" si="8"/>
        <v>588.29999999999995</v>
      </c>
      <c r="U15" s="690"/>
      <c r="V15" s="95">
        <f t="shared" si="9"/>
        <v>588.29999999999995</v>
      </c>
      <c r="W15" s="95">
        <f t="shared" si="20"/>
        <v>177.7</v>
      </c>
      <c r="X15" s="284"/>
      <c r="Y15" s="112">
        <v>30</v>
      </c>
      <c r="Z15" s="113">
        <f t="shared" si="10"/>
        <v>0</v>
      </c>
      <c r="AA15" s="127"/>
      <c r="AB15" s="112">
        <v>15</v>
      </c>
      <c r="AC15" s="113">
        <f t="shared" si="11"/>
        <v>0</v>
      </c>
      <c r="AD15" s="127"/>
      <c r="AE15" s="112">
        <v>30</v>
      </c>
      <c r="AF15" s="113">
        <f t="shared" si="12"/>
        <v>0</v>
      </c>
      <c r="AG15" s="113">
        <f t="shared" si="13"/>
        <v>0</v>
      </c>
      <c r="AH15" s="113">
        <f t="shared" si="14"/>
        <v>0</v>
      </c>
      <c r="AI15" s="131">
        <f t="shared" si="15"/>
        <v>49025</v>
      </c>
      <c r="AK15" s="114">
        <f t="shared" si="16"/>
        <v>588.29999999999995</v>
      </c>
      <c r="AL15" s="114">
        <f t="shared" si="19"/>
        <v>224.6</v>
      </c>
      <c r="AM15" s="115">
        <v>0.30199999999999999</v>
      </c>
      <c r="AO15" s="50"/>
      <c r="AP15" s="50"/>
      <c r="AQ15" s="50"/>
      <c r="AS15" s="99">
        <f t="shared" si="17"/>
        <v>12.7095</v>
      </c>
    </row>
    <row r="16" spans="1:45" x14ac:dyDescent="0.25">
      <c r="A16" s="284">
        <v>8</v>
      </c>
      <c r="B16" s="236" t="s">
        <v>59</v>
      </c>
      <c r="C16" s="259">
        <v>1</v>
      </c>
      <c r="D16" s="237">
        <v>8.4730000000000008</v>
      </c>
      <c r="E16" s="111">
        <f t="shared" si="0"/>
        <v>8.4700000000000006</v>
      </c>
      <c r="F16" s="95">
        <f t="shared" si="1"/>
        <v>101.6</v>
      </c>
      <c r="G16" s="95"/>
      <c r="H16" s="95">
        <v>5.4</v>
      </c>
      <c r="I16" s="95"/>
      <c r="J16" s="95"/>
      <c r="K16" s="95">
        <f>F16*0.4</f>
        <v>40.6</v>
      </c>
      <c r="L16" s="95">
        <f t="shared" si="18"/>
        <v>27.6</v>
      </c>
      <c r="M16" s="95">
        <f t="shared" si="2"/>
        <v>175.2</v>
      </c>
      <c r="N16" s="111">
        <v>0.41</v>
      </c>
      <c r="O16" s="95">
        <f t="shared" si="3"/>
        <v>71.8</v>
      </c>
      <c r="P16" s="95">
        <f t="shared" si="4"/>
        <v>247</v>
      </c>
      <c r="Q16" s="95">
        <f t="shared" si="5"/>
        <v>197.6</v>
      </c>
      <c r="R16" s="95">
        <f t="shared" si="6"/>
        <v>197.6</v>
      </c>
      <c r="S16" s="95">
        <f t="shared" si="7"/>
        <v>20.6</v>
      </c>
      <c r="T16" s="95">
        <f t="shared" si="8"/>
        <v>662.8</v>
      </c>
      <c r="U16" s="690"/>
      <c r="V16" s="95">
        <f t="shared" si="9"/>
        <v>662.8</v>
      </c>
      <c r="W16" s="95">
        <f t="shared" si="20"/>
        <v>200.2</v>
      </c>
      <c r="X16" s="284"/>
      <c r="Y16" s="112">
        <v>30</v>
      </c>
      <c r="Z16" s="113">
        <f t="shared" si="10"/>
        <v>0</v>
      </c>
      <c r="AA16" s="127"/>
      <c r="AB16" s="112">
        <v>15</v>
      </c>
      <c r="AC16" s="113">
        <f t="shared" si="11"/>
        <v>0</v>
      </c>
      <c r="AD16" s="127"/>
      <c r="AE16" s="112">
        <v>30</v>
      </c>
      <c r="AF16" s="113">
        <f t="shared" si="12"/>
        <v>0</v>
      </c>
      <c r="AG16" s="113">
        <f t="shared" si="13"/>
        <v>0</v>
      </c>
      <c r="AH16" s="113">
        <f t="shared" si="14"/>
        <v>0</v>
      </c>
      <c r="AI16" s="131">
        <f t="shared" si="15"/>
        <v>55233.33</v>
      </c>
      <c r="AK16" s="114">
        <f t="shared" si="16"/>
        <v>662.8</v>
      </c>
      <c r="AL16" s="114">
        <f t="shared" si="19"/>
        <v>238.1</v>
      </c>
      <c r="AM16" s="115">
        <v>0.30199999999999999</v>
      </c>
      <c r="AN16" s="50"/>
      <c r="AO16" s="50"/>
      <c r="AP16" s="50"/>
      <c r="AQ16" s="50"/>
      <c r="AS16" s="99">
        <f t="shared" si="17"/>
        <v>12.7095</v>
      </c>
    </row>
    <row r="17" spans="1:45" x14ac:dyDescent="0.25">
      <c r="A17" s="284">
        <v>9</v>
      </c>
      <c r="B17" s="261" t="s">
        <v>40</v>
      </c>
      <c r="C17" s="259">
        <v>1</v>
      </c>
      <c r="D17" s="237">
        <v>11.061999999999999</v>
      </c>
      <c r="E17" s="111">
        <f t="shared" si="0"/>
        <v>11.06</v>
      </c>
      <c r="F17" s="95">
        <f t="shared" si="1"/>
        <v>132.69999999999999</v>
      </c>
      <c r="G17" s="95"/>
      <c r="H17" s="95">
        <f>5392.4/1000</f>
        <v>5.4</v>
      </c>
      <c r="I17" s="95"/>
      <c r="J17" s="95"/>
      <c r="K17" s="95"/>
      <c r="L17" s="95">
        <f t="shared" si="18"/>
        <v>36.1</v>
      </c>
      <c r="M17" s="95">
        <f t="shared" si="2"/>
        <v>174.2</v>
      </c>
      <c r="N17" s="111">
        <v>0.43</v>
      </c>
      <c r="O17" s="95">
        <f t="shared" si="3"/>
        <v>74.900000000000006</v>
      </c>
      <c r="P17" s="95">
        <f t="shared" si="4"/>
        <v>249.1</v>
      </c>
      <c r="Q17" s="95">
        <f t="shared" si="5"/>
        <v>199.3</v>
      </c>
      <c r="R17" s="95">
        <f t="shared" si="6"/>
        <v>199.3</v>
      </c>
      <c r="S17" s="95">
        <f t="shared" si="7"/>
        <v>20.7</v>
      </c>
      <c r="T17" s="95">
        <f t="shared" si="8"/>
        <v>668.4</v>
      </c>
      <c r="U17" s="690"/>
      <c r="V17" s="95">
        <f t="shared" si="9"/>
        <v>668.4</v>
      </c>
      <c r="W17" s="95">
        <f t="shared" si="20"/>
        <v>201.9</v>
      </c>
      <c r="X17" s="284"/>
      <c r="Y17" s="112">
        <v>30</v>
      </c>
      <c r="Z17" s="113">
        <f t="shared" si="10"/>
        <v>0</v>
      </c>
      <c r="AA17" s="127"/>
      <c r="AB17" s="112">
        <v>15</v>
      </c>
      <c r="AC17" s="113">
        <f t="shared" si="11"/>
        <v>0</v>
      </c>
      <c r="AD17" s="127"/>
      <c r="AE17" s="112">
        <v>30</v>
      </c>
      <c r="AF17" s="113">
        <f t="shared" si="12"/>
        <v>0</v>
      </c>
      <c r="AG17" s="113">
        <f t="shared" si="13"/>
        <v>0</v>
      </c>
      <c r="AH17" s="113">
        <f t="shared" si="14"/>
        <v>0</v>
      </c>
      <c r="AI17" s="131">
        <f t="shared" si="15"/>
        <v>55700</v>
      </c>
      <c r="AK17" s="114">
        <f t="shared" si="16"/>
        <v>668.4</v>
      </c>
      <c r="AL17" s="114">
        <f t="shared" si="19"/>
        <v>239.1</v>
      </c>
      <c r="AM17" s="115">
        <v>0.30199999999999999</v>
      </c>
      <c r="AN17" s="50"/>
      <c r="AO17" s="50"/>
      <c r="AP17" s="50"/>
      <c r="AQ17" s="50"/>
      <c r="AS17" s="99">
        <f t="shared" si="17"/>
        <v>16.593</v>
      </c>
    </row>
    <row r="18" spans="1:45" x14ac:dyDescent="0.25">
      <c r="A18" s="284">
        <v>10</v>
      </c>
      <c r="B18" s="261" t="s">
        <v>29</v>
      </c>
      <c r="C18" s="259">
        <v>2</v>
      </c>
      <c r="D18" s="237">
        <v>8.4730000000000008</v>
      </c>
      <c r="E18" s="111">
        <f t="shared" si="0"/>
        <v>16.95</v>
      </c>
      <c r="F18" s="95">
        <f t="shared" si="1"/>
        <v>203.4</v>
      </c>
      <c r="G18" s="95"/>
      <c r="H18" s="95">
        <f>2065.2/1000</f>
        <v>2.1</v>
      </c>
      <c r="I18" s="95"/>
      <c r="J18" s="95"/>
      <c r="K18" s="95">
        <f>(D18*0.25+D18*0.3)*12</f>
        <v>55.9</v>
      </c>
      <c r="L18" s="95">
        <f t="shared" si="18"/>
        <v>55.3</v>
      </c>
      <c r="M18" s="95">
        <f t="shared" si="2"/>
        <v>316.7</v>
      </c>
      <c r="N18" s="111">
        <v>0.41</v>
      </c>
      <c r="O18" s="95">
        <f t="shared" si="3"/>
        <v>129.80000000000001</v>
      </c>
      <c r="P18" s="95">
        <f t="shared" si="4"/>
        <v>446.5</v>
      </c>
      <c r="Q18" s="95">
        <f t="shared" si="5"/>
        <v>357.2</v>
      </c>
      <c r="R18" s="95">
        <f t="shared" si="6"/>
        <v>357.2</v>
      </c>
      <c r="S18" s="95">
        <f t="shared" si="7"/>
        <v>37.1</v>
      </c>
      <c r="T18" s="95">
        <f t="shared" si="8"/>
        <v>1198</v>
      </c>
      <c r="U18" s="690"/>
      <c r="V18" s="95">
        <f t="shared" si="9"/>
        <v>1198</v>
      </c>
      <c r="W18" s="95">
        <f t="shared" si="20"/>
        <v>361.8</v>
      </c>
      <c r="X18" s="284"/>
      <c r="Y18" s="112">
        <v>30</v>
      </c>
      <c r="Z18" s="113">
        <f t="shared" si="10"/>
        <v>0</v>
      </c>
      <c r="AA18" s="127"/>
      <c r="AB18" s="112">
        <v>15</v>
      </c>
      <c r="AC18" s="113">
        <f t="shared" si="11"/>
        <v>0</v>
      </c>
      <c r="AD18" s="127"/>
      <c r="AE18" s="112">
        <v>30</v>
      </c>
      <c r="AF18" s="113">
        <f t="shared" si="12"/>
        <v>0</v>
      </c>
      <c r="AG18" s="113">
        <f t="shared" si="13"/>
        <v>0</v>
      </c>
      <c r="AH18" s="113">
        <f t="shared" si="14"/>
        <v>0</v>
      </c>
      <c r="AI18" s="131">
        <f t="shared" si="15"/>
        <v>49916.67</v>
      </c>
      <c r="AK18" s="114">
        <f t="shared" si="16"/>
        <v>599</v>
      </c>
      <c r="AL18" s="114">
        <f t="shared" si="19"/>
        <v>226.5</v>
      </c>
      <c r="AM18" s="115">
        <v>0.30199999999999999</v>
      </c>
      <c r="AN18" s="263"/>
      <c r="AO18" s="263"/>
      <c r="AP18" s="263"/>
      <c r="AS18" s="99">
        <f t="shared" si="17"/>
        <v>12.7095</v>
      </c>
    </row>
    <row r="19" spans="1:45" x14ac:dyDescent="0.25">
      <c r="A19" s="284">
        <v>11</v>
      </c>
      <c r="B19" s="261" t="s">
        <v>58</v>
      </c>
      <c r="C19" s="259">
        <v>1</v>
      </c>
      <c r="D19" s="237">
        <v>11.061999999999999</v>
      </c>
      <c r="E19" s="111">
        <f t="shared" si="0"/>
        <v>11.06</v>
      </c>
      <c r="F19" s="95">
        <f t="shared" si="1"/>
        <v>132.69999999999999</v>
      </c>
      <c r="G19" s="95"/>
      <c r="H19" s="95">
        <f>5392.4/1000</f>
        <v>5.4</v>
      </c>
      <c r="I19" s="95"/>
      <c r="J19" s="95"/>
      <c r="K19" s="95">
        <f>F19*0.4</f>
        <v>53.1</v>
      </c>
      <c r="L19" s="95">
        <f t="shared" si="18"/>
        <v>36.1</v>
      </c>
      <c r="M19" s="95">
        <f t="shared" si="2"/>
        <v>227.3</v>
      </c>
      <c r="N19" s="111">
        <v>0.43</v>
      </c>
      <c r="O19" s="95">
        <f t="shared" si="3"/>
        <v>97.7</v>
      </c>
      <c r="P19" s="95">
        <f t="shared" si="4"/>
        <v>325</v>
      </c>
      <c r="Q19" s="95">
        <f t="shared" si="5"/>
        <v>260</v>
      </c>
      <c r="R19" s="95">
        <f t="shared" si="6"/>
        <v>260</v>
      </c>
      <c r="S19" s="95">
        <f t="shared" si="7"/>
        <v>27</v>
      </c>
      <c r="T19" s="95">
        <f t="shared" si="8"/>
        <v>872</v>
      </c>
      <c r="U19" s="690"/>
      <c r="V19" s="95">
        <f t="shared" si="9"/>
        <v>872</v>
      </c>
      <c r="W19" s="95">
        <f t="shared" si="20"/>
        <v>263.3</v>
      </c>
      <c r="X19" s="284"/>
      <c r="Y19" s="112">
        <v>30</v>
      </c>
      <c r="Z19" s="113">
        <f t="shared" si="10"/>
        <v>0</v>
      </c>
      <c r="AA19" s="127"/>
      <c r="AB19" s="112">
        <v>15</v>
      </c>
      <c r="AC19" s="113">
        <f t="shared" si="11"/>
        <v>0</v>
      </c>
      <c r="AD19" s="127"/>
      <c r="AE19" s="112">
        <v>30</v>
      </c>
      <c r="AF19" s="113">
        <f t="shared" si="12"/>
        <v>0</v>
      </c>
      <c r="AG19" s="113">
        <f t="shared" si="13"/>
        <v>0</v>
      </c>
      <c r="AH19" s="113">
        <f t="shared" si="14"/>
        <v>0</v>
      </c>
      <c r="AI19" s="131">
        <f t="shared" si="15"/>
        <v>72666.67</v>
      </c>
      <c r="AK19" s="114">
        <f t="shared" si="16"/>
        <v>872</v>
      </c>
      <c r="AL19" s="114">
        <f t="shared" si="19"/>
        <v>276.2</v>
      </c>
      <c r="AM19" s="115">
        <v>0.30199999999999999</v>
      </c>
      <c r="AN19" s="50"/>
      <c r="AO19" s="50"/>
      <c r="AP19" s="50"/>
      <c r="AQ19" s="50"/>
      <c r="AS19" s="99">
        <f t="shared" si="17"/>
        <v>16.593</v>
      </c>
    </row>
    <row r="20" spans="1:45" x14ac:dyDescent="0.25">
      <c r="A20" s="284">
        <v>12</v>
      </c>
      <c r="B20" s="236" t="s">
        <v>42</v>
      </c>
      <c r="C20" s="259">
        <v>1</v>
      </c>
      <c r="D20" s="237">
        <v>11.061999999999999</v>
      </c>
      <c r="E20" s="111">
        <f t="shared" si="0"/>
        <v>11.06</v>
      </c>
      <c r="F20" s="95">
        <f t="shared" si="1"/>
        <v>132.69999999999999</v>
      </c>
      <c r="G20" s="95"/>
      <c r="H20" s="95">
        <v>7.8</v>
      </c>
      <c r="I20" s="95"/>
      <c r="J20" s="95"/>
      <c r="K20" s="95">
        <f>F20*0.2</f>
        <v>26.5</v>
      </c>
      <c r="L20" s="95">
        <f t="shared" si="18"/>
        <v>36.1</v>
      </c>
      <c r="M20" s="95">
        <f t="shared" si="2"/>
        <v>203.1</v>
      </c>
      <c r="N20" s="111">
        <v>0.43</v>
      </c>
      <c r="O20" s="95">
        <f t="shared" si="3"/>
        <v>87.3</v>
      </c>
      <c r="P20" s="95">
        <f t="shared" si="4"/>
        <v>290.39999999999998</v>
      </c>
      <c r="Q20" s="95">
        <f t="shared" si="5"/>
        <v>232.3</v>
      </c>
      <c r="R20" s="95">
        <f t="shared" si="6"/>
        <v>232.3</v>
      </c>
      <c r="S20" s="95">
        <f t="shared" si="7"/>
        <v>24.2</v>
      </c>
      <c r="T20" s="95">
        <f t="shared" si="8"/>
        <v>779.2</v>
      </c>
      <c r="U20" s="690"/>
      <c r="V20" s="95">
        <f t="shared" si="9"/>
        <v>779.2</v>
      </c>
      <c r="W20" s="95">
        <f t="shared" si="20"/>
        <v>235.3</v>
      </c>
      <c r="X20" s="284"/>
      <c r="Y20" s="112">
        <v>30</v>
      </c>
      <c r="Z20" s="113">
        <f t="shared" si="10"/>
        <v>0</v>
      </c>
      <c r="AA20" s="127"/>
      <c r="AB20" s="112">
        <v>15</v>
      </c>
      <c r="AC20" s="113">
        <f t="shared" si="11"/>
        <v>0</v>
      </c>
      <c r="AD20" s="127"/>
      <c r="AE20" s="112">
        <v>30</v>
      </c>
      <c r="AF20" s="113">
        <f t="shared" si="12"/>
        <v>0</v>
      </c>
      <c r="AG20" s="113">
        <f t="shared" si="13"/>
        <v>0</v>
      </c>
      <c r="AH20" s="113">
        <f t="shared" si="14"/>
        <v>0</v>
      </c>
      <c r="AI20" s="131">
        <f t="shared" si="15"/>
        <v>64933.33</v>
      </c>
      <c r="AK20" s="114">
        <f t="shared" si="16"/>
        <v>779.2</v>
      </c>
      <c r="AL20" s="114">
        <f t="shared" si="19"/>
        <v>259.3</v>
      </c>
      <c r="AM20" s="115">
        <v>0.30199999999999999</v>
      </c>
      <c r="AN20" s="50"/>
      <c r="AO20" s="50"/>
      <c r="AP20" s="50"/>
      <c r="AQ20" s="50"/>
      <c r="AS20" s="99">
        <f t="shared" si="17"/>
        <v>16.593</v>
      </c>
    </row>
    <row r="21" spans="1:45" s="22" customFormat="1" ht="26.4" x14ac:dyDescent="0.25">
      <c r="A21" s="284">
        <v>13</v>
      </c>
      <c r="B21" s="52" t="s">
        <v>132</v>
      </c>
      <c r="C21" s="167">
        <v>1</v>
      </c>
      <c r="D21" s="177">
        <v>8.4730000000000008</v>
      </c>
      <c r="E21" s="171">
        <f t="shared" si="0"/>
        <v>8.4700000000000006</v>
      </c>
      <c r="F21" s="154">
        <f>E21*12</f>
        <v>101.6</v>
      </c>
      <c r="G21" s="154"/>
      <c r="H21" s="154">
        <f>4130.4/1000</f>
        <v>4.0999999999999996</v>
      </c>
      <c r="I21" s="154"/>
      <c r="J21" s="154"/>
      <c r="K21" s="154"/>
      <c r="L21" s="154">
        <f t="shared" si="18"/>
        <v>27.6</v>
      </c>
      <c r="M21" s="154">
        <f t="shared" si="2"/>
        <v>133.30000000000001</v>
      </c>
      <c r="N21" s="171">
        <v>0.47</v>
      </c>
      <c r="O21" s="154">
        <f t="shared" si="3"/>
        <v>62.7</v>
      </c>
      <c r="P21" s="154">
        <f t="shared" si="4"/>
        <v>196</v>
      </c>
      <c r="Q21" s="154">
        <f t="shared" si="5"/>
        <v>156.80000000000001</v>
      </c>
      <c r="R21" s="154">
        <f t="shared" si="6"/>
        <v>156.80000000000001</v>
      </c>
      <c r="S21" s="154">
        <f t="shared" si="7"/>
        <v>16.3</v>
      </c>
      <c r="T21" s="154">
        <f t="shared" si="8"/>
        <v>525.9</v>
      </c>
      <c r="U21" s="690"/>
      <c r="V21" s="154">
        <f>T21*$U$9</f>
        <v>525.9</v>
      </c>
      <c r="W21" s="95">
        <f t="shared" si="20"/>
        <v>158.80000000000001</v>
      </c>
      <c r="X21" s="278"/>
      <c r="Y21" s="24">
        <v>30</v>
      </c>
      <c r="Z21" s="48">
        <f t="shared" si="10"/>
        <v>0</v>
      </c>
      <c r="AA21" s="54"/>
      <c r="AB21" s="24">
        <v>15</v>
      </c>
      <c r="AC21" s="48">
        <f t="shared" si="11"/>
        <v>0</v>
      </c>
      <c r="AD21" s="54"/>
      <c r="AE21" s="24">
        <v>30</v>
      </c>
      <c r="AF21" s="48">
        <f t="shared" si="12"/>
        <v>0</v>
      </c>
      <c r="AG21" s="48">
        <f t="shared" si="13"/>
        <v>0</v>
      </c>
      <c r="AH21" s="48">
        <f t="shared" si="14"/>
        <v>0</v>
      </c>
      <c r="AI21" s="39">
        <f t="shared" si="15"/>
        <v>43825</v>
      </c>
      <c r="AK21" s="34">
        <f t="shared" si="16"/>
        <v>525.9</v>
      </c>
      <c r="AL21" s="34">
        <f t="shared" si="19"/>
        <v>213.2</v>
      </c>
      <c r="AM21" s="51">
        <v>0.30199999999999999</v>
      </c>
      <c r="AN21" s="211"/>
      <c r="AO21" s="211"/>
      <c r="AP21" s="211"/>
      <c r="AQ21" s="211"/>
      <c r="AS21" s="22">
        <f t="shared" si="17"/>
        <v>12.7095</v>
      </c>
    </row>
    <row r="22" spans="1:45" x14ac:dyDescent="0.25">
      <c r="A22" s="284">
        <v>14</v>
      </c>
      <c r="B22" s="261" t="s">
        <v>44</v>
      </c>
      <c r="C22" s="259">
        <v>1</v>
      </c>
      <c r="D22" s="237">
        <v>11.061999999999999</v>
      </c>
      <c r="E22" s="111">
        <f t="shared" si="0"/>
        <v>11.06</v>
      </c>
      <c r="F22" s="95">
        <f t="shared" si="1"/>
        <v>132.69999999999999</v>
      </c>
      <c r="G22" s="95"/>
      <c r="H22" s="95">
        <v>7</v>
      </c>
      <c r="I22" s="95"/>
      <c r="J22" s="95"/>
      <c r="K22" s="95">
        <f>F22*0.4</f>
        <v>53.1</v>
      </c>
      <c r="L22" s="95">
        <f t="shared" si="18"/>
        <v>36.1</v>
      </c>
      <c r="M22" s="95">
        <f t="shared" si="2"/>
        <v>228.9</v>
      </c>
      <c r="N22" s="111">
        <v>0.43</v>
      </c>
      <c r="O22" s="95">
        <f t="shared" si="3"/>
        <v>98.4</v>
      </c>
      <c r="P22" s="95">
        <f t="shared" si="4"/>
        <v>327.3</v>
      </c>
      <c r="Q22" s="95">
        <f t="shared" si="5"/>
        <v>261.8</v>
      </c>
      <c r="R22" s="95">
        <f t="shared" si="6"/>
        <v>261.8</v>
      </c>
      <c r="S22" s="95">
        <f t="shared" si="7"/>
        <v>27.2</v>
      </c>
      <c r="T22" s="95">
        <f t="shared" si="8"/>
        <v>878.1</v>
      </c>
      <c r="U22" s="690"/>
      <c r="V22" s="95">
        <f t="shared" si="9"/>
        <v>878.1</v>
      </c>
      <c r="W22" s="95">
        <f t="shared" si="20"/>
        <v>265.2</v>
      </c>
      <c r="X22" s="284">
        <v>1</v>
      </c>
      <c r="Y22" s="112">
        <v>30</v>
      </c>
      <c r="Z22" s="113">
        <f t="shared" si="10"/>
        <v>30</v>
      </c>
      <c r="AA22" s="127">
        <v>1</v>
      </c>
      <c r="AB22" s="112">
        <v>15</v>
      </c>
      <c r="AC22" s="113">
        <f t="shared" si="11"/>
        <v>15</v>
      </c>
      <c r="AD22" s="127"/>
      <c r="AE22" s="112">
        <v>30</v>
      </c>
      <c r="AF22" s="113">
        <f t="shared" si="12"/>
        <v>0</v>
      </c>
      <c r="AG22" s="113">
        <f t="shared" si="13"/>
        <v>13.5</v>
      </c>
      <c r="AH22" s="113">
        <f t="shared" si="14"/>
        <v>58.5</v>
      </c>
      <c r="AI22" s="131">
        <f t="shared" si="15"/>
        <v>73175</v>
      </c>
      <c r="AK22" s="114">
        <f t="shared" si="16"/>
        <v>878.1</v>
      </c>
      <c r="AL22" s="114">
        <f t="shared" si="19"/>
        <v>277.3</v>
      </c>
      <c r="AM22" s="115">
        <v>0.30199999999999999</v>
      </c>
      <c r="AN22" s="50"/>
      <c r="AO22" s="50"/>
      <c r="AP22" s="50"/>
      <c r="AQ22" s="50"/>
      <c r="AS22" s="99">
        <f t="shared" si="17"/>
        <v>16.593</v>
      </c>
    </row>
    <row r="23" spans="1:45" x14ac:dyDescent="0.25">
      <c r="A23" s="284">
        <v>15</v>
      </c>
      <c r="B23" s="236" t="s">
        <v>33</v>
      </c>
      <c r="C23" s="174">
        <v>1</v>
      </c>
      <c r="D23" s="237">
        <v>8.4730000000000008</v>
      </c>
      <c r="E23" s="111">
        <f t="shared" si="0"/>
        <v>8.4700000000000006</v>
      </c>
      <c r="F23" s="95">
        <f t="shared" si="1"/>
        <v>101.6</v>
      </c>
      <c r="G23" s="95">
        <f>4015.6/1000</f>
        <v>4</v>
      </c>
      <c r="H23" s="95">
        <f>5782.5/1000</f>
        <v>5.8</v>
      </c>
      <c r="I23" s="95"/>
      <c r="J23" s="95"/>
      <c r="K23" s="95">
        <f>D23*0.2*7.6+D23*0.25*4.4</f>
        <v>22.2</v>
      </c>
      <c r="L23" s="95">
        <f t="shared" si="18"/>
        <v>27.6</v>
      </c>
      <c r="M23" s="95">
        <f t="shared" si="2"/>
        <v>161.19999999999999</v>
      </c>
      <c r="N23" s="111">
        <v>0.41</v>
      </c>
      <c r="O23" s="95">
        <f t="shared" si="3"/>
        <v>66.099999999999994</v>
      </c>
      <c r="P23" s="95">
        <f t="shared" si="4"/>
        <v>227.3</v>
      </c>
      <c r="Q23" s="95">
        <f t="shared" si="5"/>
        <v>181.8</v>
      </c>
      <c r="R23" s="95">
        <f t="shared" si="6"/>
        <v>181.8</v>
      </c>
      <c r="S23" s="95">
        <f t="shared" si="7"/>
        <v>18.899999999999999</v>
      </c>
      <c r="T23" s="95">
        <f t="shared" si="8"/>
        <v>609.79999999999995</v>
      </c>
      <c r="U23" s="690"/>
      <c r="V23" s="95">
        <f t="shared" si="9"/>
        <v>609.79999999999995</v>
      </c>
      <c r="W23" s="95">
        <f t="shared" si="20"/>
        <v>184.2</v>
      </c>
      <c r="X23" s="238">
        <v>1</v>
      </c>
      <c r="Y23" s="240">
        <v>30</v>
      </c>
      <c r="Z23" s="241">
        <f t="shared" si="10"/>
        <v>30</v>
      </c>
      <c r="AA23" s="238"/>
      <c r="AB23" s="240">
        <v>15</v>
      </c>
      <c r="AC23" s="241">
        <f t="shared" si="11"/>
        <v>0</v>
      </c>
      <c r="AD23" s="238">
        <v>1</v>
      </c>
      <c r="AE23" s="240">
        <v>30</v>
      </c>
      <c r="AF23" s="241">
        <f t="shared" si="12"/>
        <v>30</v>
      </c>
      <c r="AG23" s="241">
        <f t="shared" si="13"/>
        <v>18</v>
      </c>
      <c r="AH23" s="241">
        <f t="shared" si="14"/>
        <v>78</v>
      </c>
      <c r="AI23" s="131">
        <f t="shared" si="15"/>
        <v>50816.67</v>
      </c>
      <c r="AK23" s="114">
        <f t="shared" si="16"/>
        <v>609.79999999999995</v>
      </c>
      <c r="AL23" s="114">
        <f t="shared" si="19"/>
        <v>228.5</v>
      </c>
      <c r="AM23" s="115">
        <v>0.30199999999999999</v>
      </c>
      <c r="AN23" s="263"/>
      <c r="AO23" s="263"/>
      <c r="AP23" s="263"/>
      <c r="AS23" s="99">
        <f t="shared" si="17"/>
        <v>12.7095</v>
      </c>
    </row>
    <row r="24" spans="1:45" x14ac:dyDescent="0.25">
      <c r="A24" s="284">
        <v>16</v>
      </c>
      <c r="B24" s="236" t="s">
        <v>102</v>
      </c>
      <c r="C24" s="174">
        <v>0.5</v>
      </c>
      <c r="D24" s="237">
        <v>4.3769999999999998</v>
      </c>
      <c r="E24" s="111">
        <f t="shared" si="0"/>
        <v>2.19</v>
      </c>
      <c r="F24" s="95">
        <f t="shared" si="1"/>
        <v>26.3</v>
      </c>
      <c r="G24" s="95"/>
      <c r="H24" s="95"/>
      <c r="I24" s="95"/>
      <c r="J24" s="95"/>
      <c r="K24" s="95"/>
      <c r="L24" s="95">
        <f t="shared" si="18"/>
        <v>7.2</v>
      </c>
      <c r="M24" s="95">
        <f t="shared" si="2"/>
        <v>33.5</v>
      </c>
      <c r="N24" s="111">
        <v>0.49</v>
      </c>
      <c r="O24" s="95">
        <f t="shared" si="3"/>
        <v>16.399999999999999</v>
      </c>
      <c r="P24" s="95">
        <f t="shared" si="4"/>
        <v>49.9</v>
      </c>
      <c r="Q24" s="95">
        <f t="shared" si="5"/>
        <v>39.9</v>
      </c>
      <c r="R24" s="95">
        <f t="shared" si="6"/>
        <v>39.9</v>
      </c>
      <c r="S24" s="95">
        <f t="shared" si="7"/>
        <v>4.2</v>
      </c>
      <c r="T24" s="95">
        <f t="shared" si="8"/>
        <v>133.9</v>
      </c>
      <c r="U24" s="690"/>
      <c r="V24" s="95">
        <f t="shared" si="9"/>
        <v>133.9</v>
      </c>
      <c r="W24" s="95">
        <f t="shared" si="20"/>
        <v>40.4</v>
      </c>
      <c r="X24" s="238"/>
      <c r="Y24" s="240"/>
      <c r="Z24" s="241"/>
      <c r="AA24" s="238"/>
      <c r="AB24" s="240"/>
      <c r="AC24" s="241"/>
      <c r="AD24" s="238"/>
      <c r="AE24" s="240"/>
      <c r="AF24" s="241"/>
      <c r="AG24" s="241"/>
      <c r="AH24" s="241"/>
      <c r="AI24" s="131"/>
      <c r="AK24" s="114"/>
      <c r="AL24" s="114"/>
      <c r="AM24" s="115"/>
      <c r="AN24" s="263"/>
      <c r="AO24" s="263"/>
      <c r="AP24" s="263"/>
      <c r="AS24" s="99">
        <f t="shared" si="17"/>
        <v>6.5655000000000001</v>
      </c>
    </row>
    <row r="25" spans="1:45" x14ac:dyDescent="0.25">
      <c r="A25" s="284">
        <v>17</v>
      </c>
      <c r="B25" s="236" t="s">
        <v>136</v>
      </c>
      <c r="C25" s="174">
        <v>0.5</v>
      </c>
      <c r="D25" s="237">
        <v>4.3769999999999998</v>
      </c>
      <c r="E25" s="111">
        <f t="shared" si="0"/>
        <v>2.19</v>
      </c>
      <c r="F25" s="95">
        <f t="shared" si="1"/>
        <v>26.3</v>
      </c>
      <c r="G25" s="95"/>
      <c r="H25" s="95"/>
      <c r="I25" s="95"/>
      <c r="J25" s="95"/>
      <c r="K25" s="95"/>
      <c r="L25" s="95">
        <f t="shared" si="18"/>
        <v>7.2</v>
      </c>
      <c r="M25" s="95">
        <f t="shared" si="2"/>
        <v>33.5</v>
      </c>
      <c r="N25" s="111">
        <v>0.49</v>
      </c>
      <c r="O25" s="95">
        <f t="shared" si="3"/>
        <v>16.399999999999999</v>
      </c>
      <c r="P25" s="95">
        <f t="shared" si="4"/>
        <v>49.9</v>
      </c>
      <c r="Q25" s="95">
        <f t="shared" si="5"/>
        <v>39.9</v>
      </c>
      <c r="R25" s="95">
        <f t="shared" si="6"/>
        <v>39.9</v>
      </c>
      <c r="S25" s="95">
        <f t="shared" si="7"/>
        <v>4.2</v>
      </c>
      <c r="T25" s="95">
        <f t="shared" si="8"/>
        <v>133.9</v>
      </c>
      <c r="U25" s="690"/>
      <c r="V25" s="95">
        <f t="shared" si="9"/>
        <v>133.9</v>
      </c>
      <c r="W25" s="95">
        <f t="shared" si="20"/>
        <v>40.4</v>
      </c>
      <c r="X25" s="238"/>
      <c r="Y25" s="240"/>
      <c r="Z25" s="241"/>
      <c r="AA25" s="238"/>
      <c r="AB25" s="240"/>
      <c r="AC25" s="241"/>
      <c r="AD25" s="238"/>
      <c r="AE25" s="240"/>
      <c r="AF25" s="241"/>
      <c r="AG25" s="241"/>
      <c r="AH25" s="241"/>
      <c r="AI25" s="131"/>
      <c r="AK25" s="114"/>
      <c r="AL25" s="114"/>
      <c r="AM25" s="115"/>
      <c r="AN25" s="263"/>
      <c r="AO25" s="263"/>
      <c r="AP25" s="263"/>
      <c r="AS25" s="99">
        <f t="shared" si="17"/>
        <v>6.5655000000000001</v>
      </c>
    </row>
    <row r="26" spans="1:45" s="245" customFormat="1" x14ac:dyDescent="0.25">
      <c r="A26" s="284">
        <v>18</v>
      </c>
      <c r="B26" s="236" t="s">
        <v>60</v>
      </c>
      <c r="C26" s="262">
        <v>2</v>
      </c>
      <c r="D26" s="247">
        <v>4.3769999999999998</v>
      </c>
      <c r="E26" s="249">
        <f t="shared" si="0"/>
        <v>8.75</v>
      </c>
      <c r="F26" s="248">
        <f t="shared" si="1"/>
        <v>105</v>
      </c>
      <c r="G26" s="248">
        <f>12446.4/1000</f>
        <v>12.4</v>
      </c>
      <c r="H26" s="248">
        <f>5974.3/1000</f>
        <v>6</v>
      </c>
      <c r="I26" s="248"/>
      <c r="J26" s="248"/>
      <c r="K26" s="248"/>
      <c r="L26" s="95">
        <v>59</v>
      </c>
      <c r="M26" s="248">
        <f t="shared" si="2"/>
        <v>182.4</v>
      </c>
      <c r="N26" s="111">
        <v>0.49</v>
      </c>
      <c r="O26" s="248">
        <f t="shared" si="3"/>
        <v>89.4</v>
      </c>
      <c r="P26" s="248">
        <f t="shared" si="4"/>
        <v>271.8</v>
      </c>
      <c r="Q26" s="248">
        <f t="shared" si="5"/>
        <v>217.4</v>
      </c>
      <c r="R26" s="248">
        <f t="shared" si="6"/>
        <v>217.4</v>
      </c>
      <c r="S26" s="248">
        <f t="shared" si="7"/>
        <v>22.6</v>
      </c>
      <c r="T26" s="248">
        <f t="shared" si="8"/>
        <v>729.2</v>
      </c>
      <c r="U26" s="690"/>
      <c r="V26" s="248">
        <f t="shared" si="9"/>
        <v>729.2</v>
      </c>
      <c r="W26" s="95">
        <f t="shared" si="20"/>
        <v>220.2</v>
      </c>
      <c r="X26" s="246">
        <v>1</v>
      </c>
      <c r="Y26" s="240">
        <v>30</v>
      </c>
      <c r="Z26" s="241">
        <f t="shared" si="10"/>
        <v>30</v>
      </c>
      <c r="AA26" s="246"/>
      <c r="AB26" s="240">
        <v>15</v>
      </c>
      <c r="AC26" s="241">
        <f t="shared" si="11"/>
        <v>0</v>
      </c>
      <c r="AD26" s="246"/>
      <c r="AE26" s="240">
        <v>30</v>
      </c>
      <c r="AF26" s="241">
        <f t="shared" si="12"/>
        <v>0</v>
      </c>
      <c r="AG26" s="241">
        <f t="shared" si="13"/>
        <v>9</v>
      </c>
      <c r="AH26" s="241">
        <f t="shared" si="14"/>
        <v>39</v>
      </c>
      <c r="AI26" s="131">
        <f>V26/12/C26*1000</f>
        <v>30383.33</v>
      </c>
      <c r="AK26" s="114">
        <f>V26/C26</f>
        <v>364.6</v>
      </c>
      <c r="AL26" s="114">
        <f t="shared" si="19"/>
        <v>183.8</v>
      </c>
      <c r="AM26" s="115">
        <v>0.30199999999999999</v>
      </c>
      <c r="AN26" s="211"/>
      <c r="AO26" s="211"/>
      <c r="AP26" s="211"/>
      <c r="AQ26" s="211"/>
      <c r="AS26" s="99">
        <f t="shared" si="17"/>
        <v>6.5655000000000001</v>
      </c>
    </row>
    <row r="27" spans="1:45" x14ac:dyDescent="0.25">
      <c r="A27" s="284">
        <v>19</v>
      </c>
      <c r="B27" s="261" t="s">
        <v>94</v>
      </c>
      <c r="C27" s="264">
        <v>2</v>
      </c>
      <c r="D27" s="237">
        <v>4.3769999999999998</v>
      </c>
      <c r="E27" s="111">
        <f t="shared" si="0"/>
        <v>8.75</v>
      </c>
      <c r="F27" s="95">
        <f t="shared" si="1"/>
        <v>105</v>
      </c>
      <c r="G27" s="95">
        <f>2074.4/1000</f>
        <v>2.1</v>
      </c>
      <c r="H27" s="95">
        <f>5.974</f>
        <v>6</v>
      </c>
      <c r="I27" s="95"/>
      <c r="J27" s="95"/>
      <c r="K27" s="95"/>
      <c r="L27" s="95">
        <v>70.8</v>
      </c>
      <c r="M27" s="95">
        <f t="shared" si="2"/>
        <v>183.9</v>
      </c>
      <c r="N27" s="111">
        <v>0.47</v>
      </c>
      <c r="O27" s="95">
        <f t="shared" si="3"/>
        <v>86.4</v>
      </c>
      <c r="P27" s="95">
        <f t="shared" si="4"/>
        <v>270.3</v>
      </c>
      <c r="Q27" s="95">
        <f t="shared" si="5"/>
        <v>216.2</v>
      </c>
      <c r="R27" s="95">
        <f t="shared" si="6"/>
        <v>216.2</v>
      </c>
      <c r="S27" s="95">
        <f t="shared" si="7"/>
        <v>22.5</v>
      </c>
      <c r="T27" s="95">
        <f t="shared" si="8"/>
        <v>725.2</v>
      </c>
      <c r="U27" s="690"/>
      <c r="V27" s="95">
        <f>T27*$U$9+0.1</f>
        <v>725.3</v>
      </c>
      <c r="W27" s="95">
        <f t="shared" si="20"/>
        <v>219</v>
      </c>
      <c r="X27" s="284">
        <v>1</v>
      </c>
      <c r="Y27" s="112">
        <v>30</v>
      </c>
      <c r="Z27" s="113">
        <f t="shared" si="10"/>
        <v>30</v>
      </c>
      <c r="AA27" s="284"/>
      <c r="AB27" s="112">
        <v>15</v>
      </c>
      <c r="AC27" s="113">
        <f t="shared" si="11"/>
        <v>0</v>
      </c>
      <c r="AD27" s="284"/>
      <c r="AE27" s="112">
        <v>30</v>
      </c>
      <c r="AF27" s="113">
        <f t="shared" si="12"/>
        <v>0</v>
      </c>
      <c r="AG27" s="113">
        <f t="shared" si="13"/>
        <v>9</v>
      </c>
      <c r="AH27" s="113">
        <f t="shared" si="14"/>
        <v>39</v>
      </c>
      <c r="AI27" s="131">
        <f>V27/12/C27*1000</f>
        <v>30220.83</v>
      </c>
      <c r="AK27" s="114">
        <f>V27/C27</f>
        <v>362.7</v>
      </c>
      <c r="AL27" s="114">
        <f t="shared" si="19"/>
        <v>183.5</v>
      </c>
      <c r="AM27" s="115">
        <v>0.30199999999999999</v>
      </c>
      <c r="AS27" s="99">
        <f t="shared" si="17"/>
        <v>6.5655000000000001</v>
      </c>
    </row>
    <row r="28" spans="1:45" s="98" customFormat="1" ht="20.25" customHeight="1" x14ac:dyDescent="0.25">
      <c r="A28" s="693" t="s">
        <v>8</v>
      </c>
      <c r="B28" s="693"/>
      <c r="C28" s="265">
        <f>SUM(C9:C27)</f>
        <v>25</v>
      </c>
      <c r="D28" s="266">
        <f t="shared" ref="D28:T28" si="21">SUM(D9:D27)</f>
        <v>187.6</v>
      </c>
      <c r="E28" s="266">
        <f t="shared" si="21"/>
        <v>251.7</v>
      </c>
      <c r="F28" s="266">
        <f t="shared" si="21"/>
        <v>3020.1</v>
      </c>
      <c r="G28" s="266">
        <f t="shared" si="21"/>
        <v>18.5</v>
      </c>
      <c r="H28" s="266">
        <f t="shared" si="21"/>
        <v>110.7</v>
      </c>
      <c r="I28" s="266">
        <f t="shared" si="21"/>
        <v>0</v>
      </c>
      <c r="J28" s="266">
        <f t="shared" si="21"/>
        <v>0</v>
      </c>
      <c r="K28" s="266">
        <f t="shared" si="21"/>
        <v>703.9</v>
      </c>
      <c r="L28" s="266">
        <f t="shared" si="21"/>
        <v>894.2</v>
      </c>
      <c r="M28" s="266">
        <f t="shared" si="21"/>
        <v>4747.3999999999996</v>
      </c>
      <c r="N28" s="266">
        <f t="shared" si="21"/>
        <v>8.5</v>
      </c>
      <c r="O28" s="266">
        <f t="shared" si="21"/>
        <v>2108</v>
      </c>
      <c r="P28" s="266">
        <f t="shared" si="21"/>
        <v>6855.4</v>
      </c>
      <c r="Q28" s="266">
        <f t="shared" si="21"/>
        <v>5484.1</v>
      </c>
      <c r="R28" s="266">
        <f t="shared" si="21"/>
        <v>5484.1</v>
      </c>
      <c r="S28" s="266">
        <f t="shared" si="21"/>
        <v>570.29999999999995</v>
      </c>
      <c r="T28" s="266">
        <f t="shared" si="21"/>
        <v>18393.900000000001</v>
      </c>
      <c r="U28" s="266"/>
      <c r="V28" s="266">
        <f t="shared" ref="V28:AH28" si="22">SUM(V9:V27)</f>
        <v>18394</v>
      </c>
      <c r="W28" s="266">
        <f>SUM(W9:W27)</f>
        <v>5400.8</v>
      </c>
      <c r="X28" s="266">
        <f t="shared" si="22"/>
        <v>8</v>
      </c>
      <c r="Y28" s="266">
        <f t="shared" si="22"/>
        <v>510</v>
      </c>
      <c r="Z28" s="266">
        <f t="shared" si="22"/>
        <v>240</v>
      </c>
      <c r="AA28" s="266">
        <f t="shared" si="22"/>
        <v>1</v>
      </c>
      <c r="AB28" s="266">
        <f t="shared" si="22"/>
        <v>255</v>
      </c>
      <c r="AC28" s="266">
        <f t="shared" si="22"/>
        <v>15</v>
      </c>
      <c r="AD28" s="266">
        <f t="shared" si="22"/>
        <v>3</v>
      </c>
      <c r="AE28" s="266">
        <f t="shared" si="22"/>
        <v>510</v>
      </c>
      <c r="AF28" s="266">
        <f t="shared" si="22"/>
        <v>90</v>
      </c>
      <c r="AG28" s="266">
        <f t="shared" si="22"/>
        <v>103.5</v>
      </c>
      <c r="AH28" s="266">
        <f t="shared" si="22"/>
        <v>448.5</v>
      </c>
      <c r="AI28" s="131"/>
      <c r="AK28" s="114"/>
      <c r="AL28" s="114"/>
      <c r="AM28" s="115"/>
      <c r="AN28" s="211"/>
      <c r="AO28" s="211"/>
      <c r="AP28" s="211"/>
      <c r="AQ28" s="211"/>
      <c r="AS28" s="99"/>
    </row>
    <row r="29" spans="1:45" s="98" customFormat="1" ht="20.25" customHeight="1" x14ac:dyDescent="0.25">
      <c r="A29" s="267"/>
      <c r="B29" s="268"/>
      <c r="C29" s="269"/>
      <c r="D29" s="270"/>
      <c r="E29" s="270"/>
      <c r="F29" s="270"/>
      <c r="G29" s="270"/>
      <c r="H29" s="270"/>
      <c r="I29" s="270"/>
      <c r="J29" s="270"/>
      <c r="K29" s="270"/>
      <c r="L29" s="270"/>
      <c r="M29" s="270"/>
      <c r="N29" s="270"/>
      <c r="O29" s="270"/>
      <c r="P29" s="270"/>
      <c r="Q29" s="270"/>
      <c r="R29" s="270"/>
      <c r="S29" s="270"/>
      <c r="T29" s="270"/>
      <c r="U29" s="270"/>
      <c r="V29" s="270"/>
      <c r="W29" s="66"/>
      <c r="X29" s="270"/>
      <c r="Y29" s="270"/>
      <c r="Z29" s="270"/>
      <c r="AA29" s="270"/>
      <c r="AB29" s="270"/>
      <c r="AC29" s="270"/>
      <c r="AD29" s="270"/>
      <c r="AE29" s="270"/>
      <c r="AF29" s="270"/>
      <c r="AG29" s="270"/>
      <c r="AH29" s="270"/>
      <c r="AI29" s="131"/>
      <c r="AK29" s="114"/>
      <c r="AL29" s="114"/>
      <c r="AM29" s="115"/>
      <c r="AN29" s="211"/>
      <c r="AO29" s="211"/>
      <c r="AP29" s="211"/>
      <c r="AQ29" s="211"/>
    </row>
    <row r="30" spans="1:45" s="75" customFormat="1" x14ac:dyDescent="0.25">
      <c r="A30" s="70"/>
      <c r="B30" s="70"/>
      <c r="C30" s="71"/>
      <c r="D30" s="271"/>
      <c r="E30" s="72"/>
      <c r="F30" s="72"/>
      <c r="G30" s="72"/>
      <c r="H30" s="73"/>
      <c r="I30" s="73"/>
      <c r="J30" s="27"/>
      <c r="K30" s="27"/>
      <c r="L30" s="27"/>
      <c r="M30" s="27"/>
      <c r="N30" s="74"/>
      <c r="O30" s="27"/>
      <c r="P30" s="27"/>
      <c r="Q30" s="27"/>
      <c r="R30" s="27"/>
      <c r="S30" s="27"/>
      <c r="T30" s="27"/>
      <c r="U30" s="27"/>
      <c r="V30" s="27"/>
      <c r="W30" s="27"/>
      <c r="X30" s="27"/>
      <c r="Y30" s="27"/>
      <c r="Z30" s="27"/>
      <c r="AA30" s="27"/>
      <c r="AB30" s="27"/>
      <c r="AC30" s="27"/>
      <c r="AD30" s="27"/>
      <c r="AE30" s="27"/>
      <c r="AF30" s="27"/>
      <c r="AG30" s="27"/>
      <c r="AH30" s="27"/>
      <c r="AI30" s="27"/>
      <c r="AJ30" s="76"/>
      <c r="AN30" s="76"/>
      <c r="AO30" s="76"/>
      <c r="AP30" s="76"/>
      <c r="AQ30" s="76"/>
      <c r="AR30" s="76"/>
    </row>
    <row r="31" spans="1:45" s="75" customFormat="1" ht="58.5" customHeight="1" x14ac:dyDescent="0.25">
      <c r="A31" s="70"/>
      <c r="B31" s="70"/>
      <c r="C31" s="71"/>
      <c r="D31" s="77"/>
      <c r="E31" s="77"/>
      <c r="F31" s="27"/>
      <c r="G31" s="481" t="s">
        <v>140</v>
      </c>
      <c r="H31" s="481"/>
      <c r="I31" s="481" t="s">
        <v>145</v>
      </c>
      <c r="J31" s="481"/>
      <c r="K31" s="481" t="s">
        <v>128</v>
      </c>
      <c r="L31" s="481"/>
      <c r="Q31" s="27"/>
      <c r="R31" s="27"/>
      <c r="S31" s="27"/>
      <c r="T31" s="27"/>
      <c r="U31" s="27"/>
      <c r="V31" s="27"/>
      <c r="W31" s="27"/>
      <c r="X31" s="27"/>
      <c r="Y31" s="27"/>
      <c r="Z31" s="27"/>
      <c r="AA31" s="27"/>
      <c r="AB31" s="27"/>
      <c r="AC31" s="27"/>
      <c r="AD31" s="27"/>
      <c r="AE31" s="27"/>
      <c r="AF31" s="27"/>
      <c r="AG31" s="27"/>
      <c r="AH31" s="27"/>
      <c r="AI31" s="27"/>
      <c r="AJ31" s="76"/>
      <c r="AN31" s="76"/>
      <c r="AO31" s="76"/>
      <c r="AP31" s="76"/>
      <c r="AQ31" s="76"/>
      <c r="AR31" s="76"/>
    </row>
    <row r="32" spans="1:45" s="75" customFormat="1" x14ac:dyDescent="0.25">
      <c r="A32" s="70"/>
      <c r="B32" s="70"/>
      <c r="C32" s="71"/>
      <c r="D32" s="77"/>
      <c r="E32" s="77"/>
      <c r="F32" s="27"/>
      <c r="G32" s="279">
        <v>991</v>
      </c>
      <c r="H32" s="279">
        <v>992</v>
      </c>
      <c r="I32" s="279">
        <v>991</v>
      </c>
      <c r="J32" s="279">
        <v>992</v>
      </c>
      <c r="K32" s="279">
        <v>991</v>
      </c>
      <c r="L32" s="279">
        <v>992</v>
      </c>
      <c r="Q32" s="27"/>
      <c r="R32" s="27"/>
      <c r="S32" s="27"/>
      <c r="T32" s="27"/>
      <c r="U32" s="27"/>
      <c r="V32" s="27"/>
      <c r="W32" s="27"/>
      <c r="X32" s="27"/>
      <c r="Y32" s="27"/>
      <c r="Z32" s="27"/>
      <c r="AA32" s="27"/>
      <c r="AB32" s="27"/>
      <c r="AC32" s="27"/>
      <c r="AD32" s="27"/>
      <c r="AE32" s="27"/>
      <c r="AF32" s="27"/>
      <c r="AG32" s="27"/>
      <c r="AH32" s="27"/>
      <c r="AI32" s="27"/>
      <c r="AJ32" s="76"/>
      <c r="AN32" s="76"/>
      <c r="AO32" s="76"/>
      <c r="AP32" s="76"/>
      <c r="AQ32" s="76"/>
      <c r="AR32" s="76"/>
    </row>
    <row r="33" spans="1:44" s="75" customFormat="1" x14ac:dyDescent="0.25">
      <c r="A33" s="70"/>
      <c r="B33" s="70"/>
      <c r="C33" s="71"/>
      <c r="D33" s="77"/>
      <c r="E33" s="77"/>
      <c r="F33" s="27"/>
      <c r="G33" s="29">
        <v>18394</v>
      </c>
      <c r="H33" s="29">
        <v>5393.9</v>
      </c>
      <c r="I33" s="29">
        <f>V28</f>
        <v>18394</v>
      </c>
      <c r="J33" s="29">
        <f>W28</f>
        <v>5400.8</v>
      </c>
      <c r="K33" s="29">
        <f>G33-I33</f>
        <v>0</v>
      </c>
      <c r="L33" s="29">
        <f>H33-J33</f>
        <v>-6.9</v>
      </c>
      <c r="Q33" s="27"/>
      <c r="R33" s="27"/>
      <c r="S33" s="27"/>
      <c r="T33" s="27"/>
      <c r="U33" s="27"/>
      <c r="V33" s="27"/>
      <c r="W33" s="27"/>
      <c r="X33" s="27"/>
      <c r="Y33" s="27"/>
      <c r="Z33" s="27"/>
      <c r="AA33" s="27"/>
      <c r="AB33" s="27"/>
      <c r="AC33" s="27"/>
      <c r="AD33" s="27"/>
      <c r="AE33" s="27"/>
      <c r="AF33" s="27"/>
      <c r="AG33" s="27"/>
      <c r="AH33" s="27"/>
      <c r="AI33" s="27"/>
      <c r="AJ33" s="76"/>
      <c r="AN33" s="76"/>
      <c r="AO33" s="76"/>
      <c r="AP33" s="76"/>
      <c r="AQ33" s="76"/>
      <c r="AR33" s="76"/>
    </row>
    <row r="38" spans="1:44" s="282" customFormat="1" ht="21" x14ac:dyDescent="0.25">
      <c r="A38" s="81"/>
      <c r="B38" s="82" t="s">
        <v>138</v>
      </c>
      <c r="C38" s="83"/>
      <c r="D38" s="84"/>
      <c r="E38" s="84"/>
      <c r="F38" s="85"/>
      <c r="G38" s="85"/>
      <c r="H38" s="86"/>
      <c r="I38" s="86"/>
      <c r="J38" s="85"/>
      <c r="K38" s="30" t="s">
        <v>166</v>
      </c>
      <c r="L38" s="85"/>
      <c r="M38" s="85"/>
      <c r="N38" s="87"/>
      <c r="O38" s="85"/>
      <c r="P38" s="85"/>
      <c r="Q38" s="85"/>
      <c r="R38" s="85"/>
      <c r="S38" s="85"/>
      <c r="T38" s="85"/>
      <c r="U38" s="85"/>
      <c r="V38" s="85"/>
      <c r="W38" s="85"/>
      <c r="X38" s="85"/>
      <c r="Y38" s="85"/>
      <c r="Z38" s="85"/>
      <c r="AA38" s="85"/>
      <c r="AB38" s="85"/>
      <c r="AC38" s="85"/>
      <c r="AD38" s="85"/>
      <c r="AE38" s="85"/>
      <c r="AF38" s="85"/>
      <c r="AG38" s="85"/>
      <c r="AH38" s="85"/>
      <c r="AI38" s="85"/>
      <c r="AK38" s="88"/>
      <c r="AL38" s="88"/>
      <c r="AM38" s="88"/>
      <c r="AN38" s="88"/>
      <c r="AO38" s="88"/>
    </row>
    <row r="39" spans="1:44" s="143" customFormat="1" x14ac:dyDescent="0.25">
      <c r="A39" s="136"/>
      <c r="B39" s="136"/>
      <c r="C39" s="137"/>
      <c r="D39" s="144"/>
      <c r="E39" s="144"/>
      <c r="F39" s="140"/>
      <c r="G39" s="140"/>
      <c r="H39" s="139"/>
      <c r="I39" s="139"/>
      <c r="J39" s="140"/>
      <c r="K39" s="140"/>
      <c r="L39" s="140"/>
      <c r="M39" s="140"/>
      <c r="N39" s="141"/>
      <c r="O39" s="140"/>
      <c r="P39" s="140"/>
      <c r="Q39" s="140"/>
      <c r="R39" s="140"/>
      <c r="S39" s="140"/>
      <c r="T39" s="140"/>
      <c r="U39" s="140"/>
      <c r="V39" s="140"/>
      <c r="W39" s="140"/>
      <c r="X39" s="140"/>
      <c r="Y39" s="140"/>
      <c r="Z39" s="140"/>
      <c r="AA39" s="140"/>
      <c r="AB39" s="140"/>
      <c r="AC39" s="140"/>
      <c r="AD39" s="140"/>
      <c r="AE39" s="140"/>
      <c r="AF39" s="142"/>
      <c r="AK39" s="142"/>
      <c r="AL39" s="142"/>
      <c r="AM39" s="142"/>
      <c r="AN39" s="76"/>
      <c r="AO39" s="76"/>
      <c r="AP39" s="76"/>
      <c r="AQ39" s="76"/>
      <c r="AR39" s="99"/>
    </row>
    <row r="40" spans="1:44" s="143" customFormat="1" x14ac:dyDescent="0.25">
      <c r="A40" s="136"/>
      <c r="B40" s="136"/>
      <c r="C40" s="137"/>
      <c r="D40" s="144"/>
      <c r="E40" s="144"/>
      <c r="F40" s="140"/>
      <c r="G40" s="140"/>
      <c r="H40" s="139"/>
      <c r="I40" s="139"/>
      <c r="J40" s="140"/>
      <c r="K40" s="140"/>
      <c r="L40" s="140"/>
      <c r="M40" s="140"/>
      <c r="N40" s="202"/>
      <c r="O40" s="203"/>
      <c r="P40" s="140"/>
      <c r="Q40" s="140"/>
      <c r="R40" s="140"/>
      <c r="S40" s="140"/>
      <c r="T40" s="140"/>
      <c r="U40" s="140"/>
      <c r="V40" s="140"/>
      <c r="W40" s="140"/>
      <c r="X40" s="140"/>
      <c r="Y40" s="140"/>
      <c r="Z40" s="140"/>
      <c r="AA40" s="140"/>
      <c r="AB40" s="140"/>
      <c r="AC40" s="140"/>
      <c r="AD40" s="140"/>
      <c r="AE40" s="140"/>
      <c r="AF40" s="142"/>
      <c r="AK40" s="142"/>
      <c r="AL40" s="142"/>
      <c r="AM40" s="142"/>
      <c r="AN40" s="76"/>
      <c r="AO40" s="76"/>
      <c r="AP40" s="76"/>
      <c r="AQ40" s="76"/>
      <c r="AR40" s="252"/>
    </row>
    <row r="41" spans="1:44" s="143" customFormat="1" ht="20.25" customHeight="1" x14ac:dyDescent="0.25">
      <c r="A41" s="145" t="s">
        <v>96</v>
      </c>
      <c r="B41" s="145"/>
      <c r="C41" s="146"/>
      <c r="D41" s="146"/>
      <c r="E41" s="146"/>
      <c r="F41" s="146"/>
      <c r="G41" s="146"/>
      <c r="H41" s="146"/>
      <c r="I41" s="146"/>
      <c r="J41" s="146"/>
      <c r="K41" s="146"/>
      <c r="L41" s="147"/>
      <c r="M41" s="147"/>
      <c r="N41" s="202"/>
      <c r="O41" s="203"/>
      <c r="P41" s="147"/>
      <c r="Q41" s="147"/>
      <c r="R41" s="147"/>
      <c r="S41" s="147"/>
      <c r="T41" s="147"/>
      <c r="U41" s="147"/>
      <c r="V41" s="147"/>
      <c r="W41" s="147"/>
      <c r="X41" s="147"/>
      <c r="Y41" s="147"/>
      <c r="Z41" s="147"/>
      <c r="AA41" s="147"/>
      <c r="AB41" s="147"/>
      <c r="AC41" s="147"/>
      <c r="AD41" s="147"/>
      <c r="AE41" s="147"/>
      <c r="AF41" s="142"/>
      <c r="AK41" s="142"/>
      <c r="AL41" s="142"/>
      <c r="AM41" s="142"/>
      <c r="AN41" s="76"/>
      <c r="AO41" s="76"/>
      <c r="AP41" s="76"/>
      <c r="AQ41" s="76"/>
      <c r="AR41" s="99"/>
    </row>
    <row r="42" spans="1:44" s="143" customFormat="1" ht="20.25" customHeight="1" x14ac:dyDescent="0.25">
      <c r="A42" s="145" t="s">
        <v>139</v>
      </c>
      <c r="B42" s="149"/>
      <c r="C42" s="150"/>
      <c r="D42" s="150"/>
      <c r="E42" s="151"/>
      <c r="F42" s="151"/>
      <c r="G42" s="151"/>
      <c r="H42" s="151"/>
      <c r="I42" s="151"/>
      <c r="J42" s="151"/>
      <c r="K42" s="151"/>
      <c r="L42" s="147"/>
      <c r="M42" s="147"/>
      <c r="N42" s="202"/>
      <c r="O42" s="203"/>
      <c r="P42" s="147"/>
      <c r="Q42" s="147"/>
      <c r="R42" s="147"/>
      <c r="S42" s="147"/>
      <c r="T42" s="147"/>
      <c r="U42" s="147"/>
      <c r="V42" s="147"/>
      <c r="W42" s="147"/>
      <c r="X42" s="147"/>
      <c r="Y42" s="147"/>
      <c r="Z42" s="147"/>
      <c r="AA42" s="147"/>
      <c r="AB42" s="147"/>
      <c r="AC42" s="147"/>
      <c r="AD42" s="147"/>
      <c r="AE42" s="147"/>
      <c r="AF42" s="142"/>
      <c r="AK42" s="142"/>
      <c r="AL42" s="142"/>
      <c r="AM42" s="142"/>
      <c r="AN42" s="76"/>
      <c r="AO42" s="76"/>
      <c r="AP42" s="76"/>
      <c r="AQ42" s="76"/>
      <c r="AR42" s="252"/>
    </row>
    <row r="44" spans="1:44" x14ac:dyDescent="0.25">
      <c r="E44" s="115"/>
    </row>
    <row r="45" spans="1:44" x14ac:dyDescent="0.25">
      <c r="E45" s="115"/>
    </row>
    <row r="46" spans="1:44" x14ac:dyDescent="0.25">
      <c r="E46" s="115"/>
      <c r="Y46" s="99" t="s">
        <v>124</v>
      </c>
    </row>
    <row r="47" spans="1:44" x14ac:dyDescent="0.25">
      <c r="E47" s="115"/>
    </row>
    <row r="48" spans="1:44" x14ac:dyDescent="0.25">
      <c r="E48" s="115"/>
    </row>
    <row r="49" spans="5:5" x14ac:dyDescent="0.25">
      <c r="E49" s="115"/>
    </row>
    <row r="50" spans="5:5" x14ac:dyDescent="0.25">
      <c r="E50" s="115"/>
    </row>
    <row r="51" spans="5:5" x14ac:dyDescent="0.25">
      <c r="E51" s="115"/>
    </row>
    <row r="52" spans="5:5" x14ac:dyDescent="0.25">
      <c r="E52" s="115"/>
    </row>
    <row r="53" spans="5:5" x14ac:dyDescent="0.25">
      <c r="E53" s="115"/>
    </row>
    <row r="54" spans="5:5" x14ac:dyDescent="0.25">
      <c r="E54" s="115"/>
    </row>
    <row r="55" spans="5:5" x14ac:dyDescent="0.25">
      <c r="E55" s="115"/>
    </row>
    <row r="56" spans="5:5" x14ac:dyDescent="0.25">
      <c r="E56" s="115"/>
    </row>
    <row r="57" spans="5:5" x14ac:dyDescent="0.25">
      <c r="E57" s="115"/>
    </row>
    <row r="58" spans="5:5" x14ac:dyDescent="0.25">
      <c r="E58" s="115"/>
    </row>
    <row r="59" spans="5:5" x14ac:dyDescent="0.25">
      <c r="E59" s="115"/>
    </row>
    <row r="60" spans="5:5" x14ac:dyDescent="0.25">
      <c r="E60" s="115"/>
    </row>
    <row r="61" spans="5:5" x14ac:dyDescent="0.25">
      <c r="E61" s="115"/>
    </row>
    <row r="62" spans="5:5" x14ac:dyDescent="0.25">
      <c r="E62" s="115"/>
    </row>
    <row r="63" spans="5:5" x14ac:dyDescent="0.25">
      <c r="E63" s="115"/>
    </row>
    <row r="64" spans="5:5" x14ac:dyDescent="0.25">
      <c r="E64" s="115"/>
    </row>
    <row r="65" spans="5:5" x14ac:dyDescent="0.25">
      <c r="E65" s="115"/>
    </row>
    <row r="66" spans="5:5" x14ac:dyDescent="0.25">
      <c r="E66" s="115"/>
    </row>
    <row r="67" spans="5:5" x14ac:dyDescent="0.25">
      <c r="E67" s="115"/>
    </row>
    <row r="68" spans="5:5" x14ac:dyDescent="0.25">
      <c r="E68" s="115"/>
    </row>
  </sheetData>
  <autoFilter ref="A8:AS28"/>
  <mergeCells count="37">
    <mergeCell ref="AE1:AH1"/>
    <mergeCell ref="A2:AH2"/>
    <mergeCell ref="A3:AH3"/>
    <mergeCell ref="A5:A7"/>
    <mergeCell ref="B5:B7"/>
    <mergeCell ref="C5:C7"/>
    <mergeCell ref="D5:W5"/>
    <mergeCell ref="X5:AH5"/>
    <mergeCell ref="D6:D7"/>
    <mergeCell ref="E6:E7"/>
    <mergeCell ref="AG6:AG7"/>
    <mergeCell ref="M6:M7"/>
    <mergeCell ref="N6:O6"/>
    <mergeCell ref="P6:P7"/>
    <mergeCell ref="Q6:Q7"/>
    <mergeCell ref="AD6:AF6"/>
    <mergeCell ref="AH6:AH7"/>
    <mergeCell ref="U9:U27"/>
    <mergeCell ref="A28:B28"/>
    <mergeCell ref="S6:S7"/>
    <mergeCell ref="T6:T7"/>
    <mergeCell ref="U6:U7"/>
    <mergeCell ref="V6:V7"/>
    <mergeCell ref="W6:W7"/>
    <mergeCell ref="X6:Z6"/>
    <mergeCell ref="L6:L7"/>
    <mergeCell ref="F6:F7"/>
    <mergeCell ref="G6:G7"/>
    <mergeCell ref="H6:H7"/>
    <mergeCell ref="I6:I7"/>
    <mergeCell ref="R6:R7"/>
    <mergeCell ref="G31:H31"/>
    <mergeCell ref="I31:J31"/>
    <mergeCell ref="K31:L31"/>
    <mergeCell ref="AA6:AC6"/>
    <mergeCell ref="J6:J7"/>
    <mergeCell ref="K6:K7"/>
  </mergeCells>
  <printOptions horizontalCentered="1"/>
  <pageMargins left="0" right="0" top="0" bottom="0" header="0.31496062992125984" footer="0.31496062992125984"/>
  <pageSetup paperSize="9" scale="3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P74"/>
  <sheetViews>
    <sheetView view="pageBreakPreview" zoomScale="80" zoomScaleNormal="80" zoomScaleSheetLayoutView="80" workbookViewId="0">
      <pane xSplit="3" ySplit="8" topLeftCell="O21"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8" style="33" customWidth="1"/>
    <col min="2" max="2" width="30.77734375" style="22" customWidth="1"/>
    <col min="3" max="3" width="13.77734375" style="22" customWidth="1"/>
    <col min="4" max="4" width="13.109375" style="22" customWidth="1"/>
    <col min="5" max="5" width="13" style="22" customWidth="1"/>
    <col min="6" max="6" width="14.6640625" style="22" customWidth="1"/>
    <col min="7" max="7" width="13.109375" style="22" customWidth="1"/>
    <col min="8" max="8" width="15.6640625" style="22" customWidth="1"/>
    <col min="9" max="9" width="13.44140625" style="22" customWidth="1"/>
    <col min="10" max="10" width="20.33203125" style="22" customWidth="1"/>
    <col min="11" max="11" width="13" style="22" customWidth="1"/>
    <col min="12" max="16" width="14.77734375" style="22" customWidth="1"/>
    <col min="17" max="17" width="12.33203125" style="22" customWidth="1"/>
    <col min="18" max="18" width="13" style="22" customWidth="1"/>
    <col min="19" max="19" width="18.109375" style="22" customWidth="1"/>
    <col min="20" max="20" width="14.77734375" style="22" customWidth="1"/>
    <col min="21" max="21" width="14" style="22" customWidth="1"/>
    <col min="22" max="22" width="15.6640625" style="22" customWidth="1"/>
    <col min="23" max="23" width="14.44140625" style="22" customWidth="1"/>
    <col min="24" max="24" width="11.33203125" style="22" customWidth="1"/>
    <col min="25" max="25" width="11" style="22" customWidth="1"/>
    <col min="26" max="26" width="11.44140625" style="22" customWidth="1"/>
    <col min="27" max="28" width="9.33203125" style="22" customWidth="1"/>
    <col min="29" max="29" width="10.109375" style="22" customWidth="1"/>
    <col min="30" max="30" width="8.44140625" style="22" customWidth="1"/>
    <col min="31" max="31" width="10.77734375" style="22" customWidth="1"/>
    <col min="32" max="32" width="10.33203125" style="22" customWidth="1"/>
    <col min="33" max="33" width="11.44140625" style="22" customWidth="1"/>
    <col min="34" max="34" width="13.77734375" style="22" customWidth="1"/>
    <col min="35" max="35" width="12" style="34" customWidth="1"/>
    <col min="36" max="36" width="17.77734375" style="22" customWidth="1"/>
    <col min="37" max="37" width="14" style="22" bestFit="1" customWidth="1"/>
    <col min="38" max="39" width="9.44140625" style="22" bestFit="1" customWidth="1"/>
    <col min="40" max="40" width="11.44140625" style="22" bestFit="1" customWidth="1"/>
    <col min="41" max="41" width="9.33203125" style="22"/>
    <col min="42" max="42" width="9.44140625" style="22" bestFit="1" customWidth="1"/>
    <col min="43" max="16384" width="9.33203125" style="22"/>
  </cols>
  <sheetData>
    <row r="1" spans="1:42" ht="21.75" customHeight="1" x14ac:dyDescent="0.25">
      <c r="AE1" s="488"/>
      <c r="AF1" s="488"/>
      <c r="AG1" s="488"/>
      <c r="AH1" s="488"/>
    </row>
    <row r="2" spans="1:42" ht="33" customHeight="1" x14ac:dyDescent="0.25">
      <c r="A2" s="489" t="s">
        <v>137</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36"/>
    </row>
    <row r="3" spans="1:42" ht="24.75" customHeight="1" x14ac:dyDescent="0.25">
      <c r="A3" s="490"/>
      <c r="B3" s="490"/>
      <c r="C3" s="490"/>
      <c r="D3" s="490"/>
      <c r="E3" s="490"/>
      <c r="F3" s="490"/>
      <c r="G3" s="490"/>
      <c r="H3" s="490"/>
      <c r="I3" s="490"/>
      <c r="J3" s="490"/>
      <c r="K3" s="490"/>
      <c r="L3" s="490"/>
      <c r="M3" s="490"/>
      <c r="N3" s="490"/>
      <c r="O3" s="490"/>
      <c r="P3" s="490"/>
      <c r="Q3" s="490"/>
      <c r="R3" s="490"/>
      <c r="S3" s="490"/>
      <c r="T3" s="490"/>
      <c r="U3" s="490"/>
      <c r="V3" s="490"/>
      <c r="W3" s="490"/>
      <c r="X3" s="490"/>
      <c r="Y3" s="490"/>
      <c r="Z3" s="490"/>
      <c r="AA3" s="490"/>
      <c r="AB3" s="490"/>
      <c r="AC3" s="490"/>
      <c r="AD3" s="490"/>
      <c r="AE3" s="490"/>
      <c r="AF3" s="490"/>
      <c r="AG3" s="490"/>
      <c r="AH3" s="490"/>
      <c r="AI3" s="37"/>
    </row>
    <row r="4" spans="1:42" x14ac:dyDescent="0.25">
      <c r="L4" s="38">
        <v>0.32216</v>
      </c>
      <c r="O4" s="39"/>
      <c r="P4" s="39"/>
    </row>
    <row r="5" spans="1:42" ht="38.25" customHeight="1" x14ac:dyDescent="0.25">
      <c r="A5" s="491" t="s">
        <v>78</v>
      </c>
      <c r="B5" s="491" t="s">
        <v>77</v>
      </c>
      <c r="C5" s="479" t="s">
        <v>0</v>
      </c>
      <c r="D5" s="479" t="s">
        <v>3</v>
      </c>
      <c r="E5" s="479"/>
      <c r="F5" s="479"/>
      <c r="G5" s="479"/>
      <c r="H5" s="479"/>
      <c r="I5" s="479"/>
      <c r="J5" s="479"/>
      <c r="K5" s="479"/>
      <c r="L5" s="479"/>
      <c r="M5" s="479"/>
      <c r="N5" s="479"/>
      <c r="O5" s="479"/>
      <c r="P5" s="479"/>
      <c r="Q5" s="479"/>
      <c r="R5" s="479"/>
      <c r="S5" s="479"/>
      <c r="T5" s="479"/>
      <c r="U5" s="479"/>
      <c r="V5" s="479"/>
      <c r="W5" s="479"/>
      <c r="X5" s="479" t="s">
        <v>4</v>
      </c>
      <c r="Y5" s="479"/>
      <c r="Z5" s="479"/>
      <c r="AA5" s="479"/>
      <c r="AB5" s="479"/>
      <c r="AC5" s="479"/>
      <c r="AD5" s="479"/>
      <c r="AE5" s="479"/>
      <c r="AF5" s="479"/>
      <c r="AG5" s="479"/>
      <c r="AH5" s="479"/>
    </row>
    <row r="6" spans="1:42" ht="60" customHeight="1" x14ac:dyDescent="0.25">
      <c r="A6" s="491"/>
      <c r="B6" s="491"/>
      <c r="C6" s="479"/>
      <c r="D6" s="478" t="s">
        <v>79</v>
      </c>
      <c r="E6" s="478" t="s">
        <v>69</v>
      </c>
      <c r="F6" s="478" t="s">
        <v>89</v>
      </c>
      <c r="G6" s="478" t="s">
        <v>1</v>
      </c>
      <c r="H6" s="478" t="s">
        <v>2</v>
      </c>
      <c r="I6" s="478" t="s">
        <v>70</v>
      </c>
      <c r="J6" s="478" t="s">
        <v>61</v>
      </c>
      <c r="K6" s="478" t="s">
        <v>27</v>
      </c>
      <c r="L6" s="482" t="s">
        <v>65</v>
      </c>
      <c r="M6" s="482" t="s">
        <v>86</v>
      </c>
      <c r="N6" s="483" t="s">
        <v>90</v>
      </c>
      <c r="O6" s="483"/>
      <c r="P6" s="483" t="s">
        <v>88</v>
      </c>
      <c r="Q6" s="482" t="s">
        <v>82</v>
      </c>
      <c r="R6" s="478" t="s">
        <v>83</v>
      </c>
      <c r="S6" s="482" t="s">
        <v>87</v>
      </c>
      <c r="T6" s="478" t="s">
        <v>84</v>
      </c>
      <c r="U6" s="478" t="s">
        <v>9</v>
      </c>
      <c r="V6" s="478" t="s">
        <v>7</v>
      </c>
      <c r="W6" s="478" t="s">
        <v>85</v>
      </c>
      <c r="X6" s="479" t="s">
        <v>10</v>
      </c>
      <c r="Y6" s="479"/>
      <c r="Z6" s="479"/>
      <c r="AA6" s="479" t="s">
        <v>11</v>
      </c>
      <c r="AB6" s="479"/>
      <c r="AC6" s="479"/>
      <c r="AD6" s="479" t="s">
        <v>12</v>
      </c>
      <c r="AE6" s="479"/>
      <c r="AF6" s="479"/>
      <c r="AG6" s="479" t="s">
        <v>13</v>
      </c>
      <c r="AH6" s="479" t="s">
        <v>73</v>
      </c>
    </row>
    <row r="7" spans="1:42" ht="57" customHeight="1" x14ac:dyDescent="0.25">
      <c r="A7" s="491"/>
      <c r="B7" s="491"/>
      <c r="C7" s="479"/>
      <c r="D7" s="478"/>
      <c r="E7" s="478"/>
      <c r="F7" s="478"/>
      <c r="G7" s="478"/>
      <c r="H7" s="478"/>
      <c r="I7" s="478"/>
      <c r="J7" s="478"/>
      <c r="K7" s="478"/>
      <c r="L7" s="482" t="s">
        <v>66</v>
      </c>
      <c r="M7" s="482"/>
      <c r="N7" s="41" t="s">
        <v>80</v>
      </c>
      <c r="O7" s="41" t="s">
        <v>81</v>
      </c>
      <c r="P7" s="483"/>
      <c r="Q7" s="482"/>
      <c r="R7" s="478"/>
      <c r="S7" s="482" t="s">
        <v>67</v>
      </c>
      <c r="T7" s="478"/>
      <c r="U7" s="478"/>
      <c r="V7" s="478"/>
      <c r="W7" s="478"/>
      <c r="X7" s="42" t="s">
        <v>5</v>
      </c>
      <c r="Y7" s="42" t="s">
        <v>6</v>
      </c>
      <c r="Z7" s="42" t="s">
        <v>74</v>
      </c>
      <c r="AA7" s="42" t="s">
        <v>5</v>
      </c>
      <c r="AB7" s="42" t="s">
        <v>6</v>
      </c>
      <c r="AC7" s="42" t="s">
        <v>75</v>
      </c>
      <c r="AD7" s="42" t="s">
        <v>5</v>
      </c>
      <c r="AE7" s="42" t="s">
        <v>6</v>
      </c>
      <c r="AF7" s="42" t="s">
        <v>76</v>
      </c>
      <c r="AG7" s="479"/>
      <c r="AH7" s="479"/>
      <c r="AJ7" s="33" t="s">
        <v>64</v>
      </c>
    </row>
    <row r="8" spans="1:42" ht="12.75" customHeight="1" x14ac:dyDescent="0.25">
      <c r="A8" s="23">
        <v>1</v>
      </c>
      <c r="B8" s="23">
        <v>2</v>
      </c>
      <c r="C8" s="23">
        <v>3</v>
      </c>
      <c r="D8" s="23">
        <v>4</v>
      </c>
      <c r="E8" s="23">
        <v>5</v>
      </c>
      <c r="F8" s="23">
        <v>6</v>
      </c>
      <c r="G8" s="23">
        <v>7</v>
      </c>
      <c r="H8" s="23">
        <v>8</v>
      </c>
      <c r="I8" s="23">
        <v>9</v>
      </c>
      <c r="J8" s="23">
        <v>10</v>
      </c>
      <c r="K8" s="23">
        <v>11</v>
      </c>
      <c r="L8" s="23">
        <v>12</v>
      </c>
      <c r="M8" s="23">
        <v>13</v>
      </c>
      <c r="N8" s="23">
        <v>14</v>
      </c>
      <c r="O8" s="23">
        <v>15</v>
      </c>
      <c r="P8" s="23">
        <v>16</v>
      </c>
      <c r="Q8" s="23">
        <v>17</v>
      </c>
      <c r="R8" s="23">
        <v>18</v>
      </c>
      <c r="S8" s="23">
        <v>19</v>
      </c>
      <c r="T8" s="23">
        <v>20</v>
      </c>
      <c r="U8" s="23">
        <v>21</v>
      </c>
      <c r="V8" s="23">
        <v>22</v>
      </c>
      <c r="W8" s="23">
        <v>23</v>
      </c>
      <c r="X8" s="23">
        <v>24</v>
      </c>
      <c r="Y8" s="23">
        <v>25</v>
      </c>
      <c r="Z8" s="23">
        <v>26</v>
      </c>
      <c r="AA8" s="23">
        <v>27</v>
      </c>
      <c r="AB8" s="23">
        <v>28</v>
      </c>
      <c r="AC8" s="23">
        <v>29</v>
      </c>
      <c r="AD8" s="23">
        <v>30</v>
      </c>
      <c r="AE8" s="23">
        <v>31</v>
      </c>
      <c r="AF8" s="23">
        <v>32</v>
      </c>
      <c r="AG8" s="23">
        <v>33</v>
      </c>
      <c r="AH8" s="23">
        <v>34</v>
      </c>
      <c r="AK8" s="43" t="s">
        <v>116</v>
      </c>
      <c r="AL8" s="43" t="s">
        <v>117</v>
      </c>
      <c r="AM8" s="43" t="s">
        <v>118</v>
      </c>
      <c r="AN8" s="43" t="s">
        <v>119</v>
      </c>
    </row>
    <row r="9" spans="1:42" ht="27" customHeight="1" x14ac:dyDescent="0.25">
      <c r="A9" s="23">
        <v>1</v>
      </c>
      <c r="B9" s="44" t="s">
        <v>21</v>
      </c>
      <c r="C9" s="23">
        <v>1</v>
      </c>
      <c r="D9" s="45">
        <v>21.991</v>
      </c>
      <c r="E9" s="46">
        <f>C9*D9</f>
        <v>21.99</v>
      </c>
      <c r="F9" s="47">
        <f>E9*12</f>
        <v>263.89999999999998</v>
      </c>
      <c r="G9" s="24"/>
      <c r="H9" s="24"/>
      <c r="I9" s="24"/>
      <c r="J9" s="24"/>
      <c r="K9" s="24">
        <f>D9*0.3*12+0.05*9</f>
        <v>79.599999999999994</v>
      </c>
      <c r="L9" s="24">
        <f>F9*$L$4</f>
        <v>85</v>
      </c>
      <c r="M9" s="24">
        <f t="shared" ref="M9:M27" si="0">F9+G9+H9+I9+J9+K9+L9</f>
        <v>428.5</v>
      </c>
      <c r="N9" s="48">
        <v>1.1100000000000001</v>
      </c>
      <c r="O9" s="24">
        <f t="shared" ref="O9:O27" si="1">M9*N9</f>
        <v>475.6</v>
      </c>
      <c r="P9" s="24">
        <f>M9+O9</f>
        <v>904.1</v>
      </c>
      <c r="Q9" s="24">
        <f>P9*0.8</f>
        <v>723.3</v>
      </c>
      <c r="R9" s="24">
        <f t="shared" ref="R9:R27" si="2">P9*0.8</f>
        <v>723.3</v>
      </c>
      <c r="S9" s="24">
        <f>(P9+Q9+R9)*0.032</f>
        <v>75.2</v>
      </c>
      <c r="T9" s="49">
        <f t="shared" ref="T9:T27" si="3">P9+Q9+R9+S9</f>
        <v>2425.9</v>
      </c>
      <c r="U9" s="486">
        <v>1</v>
      </c>
      <c r="V9" s="49">
        <f>T9*$U$9</f>
        <v>2425.9</v>
      </c>
      <c r="W9" s="49">
        <f>AN9</f>
        <v>534.29999999999995</v>
      </c>
      <c r="X9" s="23">
        <v>1</v>
      </c>
      <c r="Y9" s="24">
        <v>30</v>
      </c>
      <c r="Z9" s="48">
        <f t="shared" ref="Z9:Z25" si="4">X9*Y9</f>
        <v>30</v>
      </c>
      <c r="AA9" s="23"/>
      <c r="AB9" s="24">
        <v>15</v>
      </c>
      <c r="AC9" s="48">
        <f t="shared" ref="AC9:AC25" si="5">AA9*AB9</f>
        <v>0</v>
      </c>
      <c r="AD9" s="23"/>
      <c r="AE9" s="24">
        <v>30</v>
      </c>
      <c r="AF9" s="48">
        <f t="shared" ref="AF9:AF25" si="6">AD9*AE9</f>
        <v>0</v>
      </c>
      <c r="AG9" s="48">
        <f t="shared" ref="AG9:AG25" si="7">(Z9+AC9+AF9)*1%*30</f>
        <v>9</v>
      </c>
      <c r="AH9" s="48">
        <f t="shared" ref="AH9:AH25" si="8">Z9+AC9+AF9+AG9</f>
        <v>39</v>
      </c>
      <c r="AI9" s="34">
        <f t="shared" ref="AI9:AI27" si="9">V9/12/C9*1000</f>
        <v>202158.3</v>
      </c>
      <c r="AJ9" s="34">
        <f t="shared" ref="AJ9:AJ27" si="10">V9/C9</f>
        <v>2425.9</v>
      </c>
      <c r="AK9" s="50">
        <f>1150*0.22*C9+(V9-1150*C9)*0.1</f>
        <v>380.6</v>
      </c>
      <c r="AL9" s="50">
        <f>865*0.029*C9</f>
        <v>25.1</v>
      </c>
      <c r="AM9" s="50">
        <f t="shared" ref="AM9:AM27" si="11">V9*0.053</f>
        <v>128.6</v>
      </c>
      <c r="AN9" s="50">
        <f>SUM(AK9:AM9)</f>
        <v>534.29999999999995</v>
      </c>
      <c r="AP9" s="51"/>
    </row>
    <row r="10" spans="1:42" ht="27" customHeight="1" x14ac:dyDescent="0.25">
      <c r="A10" s="23">
        <v>2</v>
      </c>
      <c r="B10" s="44" t="s">
        <v>125</v>
      </c>
      <c r="C10" s="23">
        <v>3</v>
      </c>
      <c r="D10" s="45">
        <v>15.394</v>
      </c>
      <c r="E10" s="46">
        <f>C10*D10</f>
        <v>46.18</v>
      </c>
      <c r="F10" s="47">
        <f>E10*12</f>
        <v>554.20000000000005</v>
      </c>
      <c r="G10" s="24"/>
      <c r="H10" s="24"/>
      <c r="I10" s="24"/>
      <c r="J10" s="24"/>
      <c r="K10" s="24">
        <f>D10*0.2*2*12+D10*0.4*12+D10*0.05*3</f>
        <v>150.1</v>
      </c>
      <c r="L10" s="24">
        <f t="shared" ref="L10:L25" si="12">F10*$L$4</f>
        <v>178.5</v>
      </c>
      <c r="M10" s="24">
        <f>F10+G10+H10+I10+J10+K10+L10</f>
        <v>882.8</v>
      </c>
      <c r="N10" s="48">
        <v>0.47</v>
      </c>
      <c r="O10" s="24">
        <f>M10*N10</f>
        <v>414.9</v>
      </c>
      <c r="P10" s="24">
        <f>M10+O10</f>
        <v>1297.7</v>
      </c>
      <c r="Q10" s="24">
        <f>P10*0.8</f>
        <v>1038.2</v>
      </c>
      <c r="R10" s="24">
        <f>P10*0.8</f>
        <v>1038.2</v>
      </c>
      <c r="S10" s="24">
        <f>(P10+Q10+R10)*0.032</f>
        <v>108</v>
      </c>
      <c r="T10" s="49">
        <f>P10+Q10+R10+S10</f>
        <v>3482.1</v>
      </c>
      <c r="U10" s="487"/>
      <c r="V10" s="49">
        <f>T10*$U$9</f>
        <v>3482.1</v>
      </c>
      <c r="W10" s="49">
        <f>AN10</f>
        <v>1022.1</v>
      </c>
      <c r="X10" s="23">
        <v>2</v>
      </c>
      <c r="Y10" s="24">
        <v>30</v>
      </c>
      <c r="Z10" s="48">
        <f>X10*Y10</f>
        <v>60</v>
      </c>
      <c r="AA10" s="23">
        <v>1</v>
      </c>
      <c r="AB10" s="24">
        <v>15</v>
      </c>
      <c r="AC10" s="48">
        <f>AA10*AB10</f>
        <v>15</v>
      </c>
      <c r="AD10" s="23">
        <v>3</v>
      </c>
      <c r="AE10" s="24">
        <v>30</v>
      </c>
      <c r="AF10" s="48">
        <f>AD10*AE10</f>
        <v>90</v>
      </c>
      <c r="AG10" s="48">
        <f>(Z10+AC10+AF10)*1%*30</f>
        <v>49.5</v>
      </c>
      <c r="AH10" s="48">
        <f>Z10+AC10+AF10+AG10</f>
        <v>214.5</v>
      </c>
      <c r="AI10" s="34">
        <f t="shared" si="9"/>
        <v>96725</v>
      </c>
      <c r="AJ10" s="34">
        <f t="shared" si="10"/>
        <v>1160.7</v>
      </c>
      <c r="AK10" s="50">
        <f>1150*0.22*C10+(V10-1150*C10)*0.1</f>
        <v>762.2</v>
      </c>
      <c r="AL10" s="50">
        <f>865*0.029*C10</f>
        <v>75.3</v>
      </c>
      <c r="AM10" s="50">
        <f>V10*0.053</f>
        <v>184.6</v>
      </c>
      <c r="AN10" s="50">
        <f>SUM(AK10:AM10)</f>
        <v>1022.1</v>
      </c>
      <c r="AP10" s="51"/>
    </row>
    <row r="11" spans="1:42" ht="27" customHeight="1" x14ac:dyDescent="0.25">
      <c r="A11" s="23">
        <v>3</v>
      </c>
      <c r="B11" s="52" t="s">
        <v>23</v>
      </c>
      <c r="C11" s="23">
        <v>7</v>
      </c>
      <c r="D11" s="53">
        <v>11.061999999999999</v>
      </c>
      <c r="E11" s="46">
        <f t="shared" ref="E11:E27" si="13">C11*D11</f>
        <v>77.430000000000007</v>
      </c>
      <c r="F11" s="47">
        <f t="shared" ref="F11:F27" si="14">E11*12</f>
        <v>929.2</v>
      </c>
      <c r="G11" s="24"/>
      <c r="H11" s="24">
        <f>(6470.9+1198.32)/1000</f>
        <v>7.7</v>
      </c>
      <c r="I11" s="24"/>
      <c r="J11" s="24"/>
      <c r="K11" s="24">
        <f>D11*0.25*12+D11*0.35*12+D11*0.4*4*12</f>
        <v>292</v>
      </c>
      <c r="L11" s="24">
        <f t="shared" si="12"/>
        <v>299.39999999999998</v>
      </c>
      <c r="M11" s="24">
        <f t="shared" si="0"/>
        <v>1528.3</v>
      </c>
      <c r="N11" s="48">
        <v>0.43</v>
      </c>
      <c r="O11" s="24">
        <f t="shared" si="1"/>
        <v>657.2</v>
      </c>
      <c r="P11" s="24">
        <f t="shared" ref="P11:P27" si="15">M11+O11</f>
        <v>2185.5</v>
      </c>
      <c r="Q11" s="24">
        <f t="shared" ref="Q11:Q27" si="16">P11*0.8</f>
        <v>1748.4</v>
      </c>
      <c r="R11" s="24">
        <f t="shared" si="2"/>
        <v>1748.4</v>
      </c>
      <c r="S11" s="24">
        <f t="shared" ref="S11:S27" si="17">(P11+Q11+R11)*0.032</f>
        <v>181.8</v>
      </c>
      <c r="T11" s="49">
        <f t="shared" si="3"/>
        <v>5864.1</v>
      </c>
      <c r="U11" s="487"/>
      <c r="V11" s="49">
        <f t="shared" ref="V11:V25" si="18">T11*$U$9</f>
        <v>5864.1</v>
      </c>
      <c r="W11" s="49">
        <f>V11*0.302</f>
        <v>1771</v>
      </c>
      <c r="X11" s="23">
        <v>2</v>
      </c>
      <c r="Y11" s="24">
        <v>30</v>
      </c>
      <c r="Z11" s="48">
        <f t="shared" si="4"/>
        <v>60</v>
      </c>
      <c r="AA11" s="23">
        <v>3</v>
      </c>
      <c r="AB11" s="24">
        <v>15</v>
      </c>
      <c r="AC11" s="48">
        <f t="shared" si="5"/>
        <v>45</v>
      </c>
      <c r="AD11" s="23"/>
      <c r="AE11" s="24">
        <v>30</v>
      </c>
      <c r="AF11" s="48">
        <f t="shared" si="6"/>
        <v>0</v>
      </c>
      <c r="AG11" s="48">
        <f>(Z11+AC11+AF11)*1%*30</f>
        <v>31.5</v>
      </c>
      <c r="AH11" s="48">
        <f t="shared" si="8"/>
        <v>136.5</v>
      </c>
      <c r="AI11" s="34">
        <f t="shared" si="9"/>
        <v>69810.7</v>
      </c>
      <c r="AJ11" s="34">
        <f t="shared" si="10"/>
        <v>837.7</v>
      </c>
      <c r="AK11" s="50">
        <f t="shared" ref="AK11:AK27" si="19">V11*0.22</f>
        <v>1290.0999999999999</v>
      </c>
      <c r="AL11" s="50">
        <f>865*0.029*C11</f>
        <v>175.6</v>
      </c>
      <c r="AM11" s="50">
        <f t="shared" si="11"/>
        <v>310.8</v>
      </c>
      <c r="AN11" s="50">
        <f t="shared" ref="AN11:AN27" si="20">SUM(AK11:AM11)</f>
        <v>1776.5</v>
      </c>
      <c r="AP11" s="51"/>
    </row>
    <row r="12" spans="1:42" ht="27" customHeight="1" x14ac:dyDescent="0.25">
      <c r="A12" s="23">
        <v>4</v>
      </c>
      <c r="B12" s="52" t="s">
        <v>134</v>
      </c>
      <c r="C12" s="23">
        <v>1</v>
      </c>
      <c r="D12" s="53">
        <v>11.061999999999999</v>
      </c>
      <c r="E12" s="46">
        <f>C12*D12</f>
        <v>11.06</v>
      </c>
      <c r="F12" s="47">
        <f>E12*12</f>
        <v>132.69999999999999</v>
      </c>
      <c r="G12" s="24"/>
      <c r="H12" s="24">
        <f>1078.5/1000</f>
        <v>1.1000000000000001</v>
      </c>
      <c r="I12" s="24"/>
      <c r="J12" s="24"/>
      <c r="K12" s="24"/>
      <c r="L12" s="24">
        <f>F12*$L$4</f>
        <v>42.8</v>
      </c>
      <c r="M12" s="24">
        <f>F12+G12+H12+I12+J12+K12+L12</f>
        <v>176.6</v>
      </c>
      <c r="N12" s="48">
        <v>0.43</v>
      </c>
      <c r="O12" s="24">
        <f>M12*N12</f>
        <v>75.900000000000006</v>
      </c>
      <c r="P12" s="24">
        <f>M12+O12</f>
        <v>252.5</v>
      </c>
      <c r="Q12" s="24">
        <f>P12*0.8</f>
        <v>202</v>
      </c>
      <c r="R12" s="24">
        <f>P12*0.8</f>
        <v>202</v>
      </c>
      <c r="S12" s="24">
        <f>(P12+Q12+R12)*0.032</f>
        <v>21</v>
      </c>
      <c r="T12" s="49">
        <f>P12+Q12+R12+S12</f>
        <v>677.5</v>
      </c>
      <c r="U12" s="487"/>
      <c r="V12" s="49">
        <f>T12*$U$9</f>
        <v>677.5</v>
      </c>
      <c r="W12" s="49">
        <f t="shared" ref="W12:W26" si="21">V12*0.302</f>
        <v>204.6</v>
      </c>
      <c r="X12" s="23"/>
      <c r="Y12" s="24">
        <v>30</v>
      </c>
      <c r="Z12" s="48">
        <f>X12*Y12</f>
        <v>0</v>
      </c>
      <c r="AA12" s="23"/>
      <c r="AB12" s="24">
        <v>15</v>
      </c>
      <c r="AC12" s="48">
        <f>AA12*AB12</f>
        <v>0</v>
      </c>
      <c r="AD12" s="23"/>
      <c r="AE12" s="24">
        <v>30</v>
      </c>
      <c r="AF12" s="48">
        <f>AD12*AE12</f>
        <v>0</v>
      </c>
      <c r="AG12" s="48">
        <f>(Z12+AC12+AF12)*1%*30</f>
        <v>0</v>
      </c>
      <c r="AH12" s="48">
        <f>Z12+AC12+AF12+AG12</f>
        <v>0</v>
      </c>
      <c r="AI12" s="34">
        <f t="shared" si="9"/>
        <v>56458.3</v>
      </c>
      <c r="AJ12" s="34">
        <f t="shared" si="10"/>
        <v>677.5</v>
      </c>
      <c r="AK12" s="50">
        <f t="shared" si="19"/>
        <v>149.1</v>
      </c>
      <c r="AL12" s="50">
        <f t="shared" ref="AL12:AL27" si="22">912*0.029*C12</f>
        <v>26.4</v>
      </c>
      <c r="AM12" s="50">
        <f t="shared" si="11"/>
        <v>35.9</v>
      </c>
      <c r="AN12" s="50">
        <f t="shared" si="20"/>
        <v>211.4</v>
      </c>
      <c r="AP12" s="51"/>
    </row>
    <row r="13" spans="1:42" ht="27" customHeight="1" x14ac:dyDescent="0.25">
      <c r="A13" s="23">
        <v>5</v>
      </c>
      <c r="B13" s="52" t="s">
        <v>17</v>
      </c>
      <c r="C13" s="23">
        <v>1</v>
      </c>
      <c r="D13" s="53">
        <v>12.335000000000001</v>
      </c>
      <c r="E13" s="46">
        <f t="shared" si="13"/>
        <v>12.34</v>
      </c>
      <c r="F13" s="47">
        <f t="shared" si="14"/>
        <v>148.1</v>
      </c>
      <c r="G13" s="24"/>
      <c r="H13" s="24">
        <f>1202.6/1000</f>
        <v>1.2</v>
      </c>
      <c r="I13" s="24"/>
      <c r="J13" s="24"/>
      <c r="K13" s="24">
        <f>F13*0.4</f>
        <v>59.2</v>
      </c>
      <c r="L13" s="24">
        <f t="shared" si="12"/>
        <v>47.7</v>
      </c>
      <c r="M13" s="24">
        <f t="shared" si="0"/>
        <v>256.2</v>
      </c>
      <c r="N13" s="48">
        <v>0.47</v>
      </c>
      <c r="O13" s="24">
        <f t="shared" si="1"/>
        <v>120.4</v>
      </c>
      <c r="P13" s="24">
        <f t="shared" si="15"/>
        <v>376.6</v>
      </c>
      <c r="Q13" s="24">
        <f t="shared" si="16"/>
        <v>301.3</v>
      </c>
      <c r="R13" s="24">
        <f t="shared" si="2"/>
        <v>301.3</v>
      </c>
      <c r="S13" s="24">
        <f t="shared" si="17"/>
        <v>31.3</v>
      </c>
      <c r="T13" s="49">
        <f t="shared" si="3"/>
        <v>1010.5</v>
      </c>
      <c r="U13" s="487"/>
      <c r="V13" s="49">
        <f t="shared" si="18"/>
        <v>1010.5</v>
      </c>
      <c r="W13" s="49">
        <f>AN13</f>
        <v>301</v>
      </c>
      <c r="X13" s="23">
        <v>1</v>
      </c>
      <c r="Y13" s="24">
        <v>30</v>
      </c>
      <c r="Z13" s="48">
        <f t="shared" si="4"/>
        <v>30</v>
      </c>
      <c r="AA13" s="23">
        <v>1</v>
      </c>
      <c r="AB13" s="24">
        <v>15</v>
      </c>
      <c r="AC13" s="48">
        <f t="shared" si="5"/>
        <v>15</v>
      </c>
      <c r="AD13" s="23">
        <v>1</v>
      </c>
      <c r="AE13" s="24">
        <v>30</v>
      </c>
      <c r="AF13" s="48">
        <f t="shared" si="6"/>
        <v>30</v>
      </c>
      <c r="AG13" s="48">
        <f t="shared" si="7"/>
        <v>22.5</v>
      </c>
      <c r="AH13" s="48">
        <f t="shared" si="8"/>
        <v>97.5</v>
      </c>
      <c r="AI13" s="34">
        <f t="shared" si="9"/>
        <v>84208.3</v>
      </c>
      <c r="AJ13" s="34">
        <f t="shared" si="10"/>
        <v>1010.5</v>
      </c>
      <c r="AK13" s="50">
        <f>V13*0.22</f>
        <v>222.3</v>
      </c>
      <c r="AL13" s="50">
        <f>865*0.029*C13</f>
        <v>25.1</v>
      </c>
      <c r="AM13" s="50">
        <f>V13*0.053</f>
        <v>53.6</v>
      </c>
      <c r="AN13" s="50">
        <f>SUM(AK13:AM13)</f>
        <v>301</v>
      </c>
      <c r="AP13" s="51"/>
    </row>
    <row r="14" spans="1:42" ht="34.5" customHeight="1" x14ac:dyDescent="0.25">
      <c r="A14" s="23">
        <v>6</v>
      </c>
      <c r="B14" s="52" t="s">
        <v>129</v>
      </c>
      <c r="C14" s="54">
        <v>1</v>
      </c>
      <c r="D14" s="53">
        <v>8.4730000000000008</v>
      </c>
      <c r="E14" s="46">
        <f>C14*D14</f>
        <v>8.4700000000000006</v>
      </c>
      <c r="F14" s="47">
        <f>E14*11</f>
        <v>93.2</v>
      </c>
      <c r="G14" s="24"/>
      <c r="H14" s="24">
        <f>826.1/1000</f>
        <v>0.8</v>
      </c>
      <c r="I14" s="24"/>
      <c r="J14" s="24"/>
      <c r="K14" s="24">
        <f>F14*0.2</f>
        <v>18.600000000000001</v>
      </c>
      <c r="L14" s="24">
        <f>F14*$L$4</f>
        <v>30</v>
      </c>
      <c r="M14" s="24">
        <f>F14+G14+H14+I14+J14+K14+L14</f>
        <v>142.6</v>
      </c>
      <c r="N14" s="48">
        <v>0.41</v>
      </c>
      <c r="O14" s="24">
        <f>M14*N14</f>
        <v>58.5</v>
      </c>
      <c r="P14" s="24">
        <f>M14+O14</f>
        <v>201.1</v>
      </c>
      <c r="Q14" s="24">
        <f>P14*0.8</f>
        <v>160.9</v>
      </c>
      <c r="R14" s="24">
        <f>P14*0.8</f>
        <v>160.9</v>
      </c>
      <c r="S14" s="24">
        <f>(P14+Q14+R14)*0.032</f>
        <v>16.7</v>
      </c>
      <c r="T14" s="49">
        <f>P14+Q14+R14+S14</f>
        <v>539.6</v>
      </c>
      <c r="U14" s="487"/>
      <c r="V14" s="49">
        <f>T14*$U$9</f>
        <v>539.6</v>
      </c>
      <c r="W14" s="49">
        <f t="shared" si="21"/>
        <v>163</v>
      </c>
      <c r="X14" s="23">
        <v>1</v>
      </c>
      <c r="Y14" s="24">
        <v>30</v>
      </c>
      <c r="Z14" s="48">
        <f>X14*Y14</f>
        <v>30</v>
      </c>
      <c r="AA14" s="23">
        <v>1</v>
      </c>
      <c r="AB14" s="24">
        <v>15</v>
      </c>
      <c r="AC14" s="48">
        <f>AA14*AB14</f>
        <v>15</v>
      </c>
      <c r="AD14" s="23">
        <v>1</v>
      </c>
      <c r="AE14" s="24">
        <v>30</v>
      </c>
      <c r="AF14" s="48">
        <f>AD14*AE14</f>
        <v>30</v>
      </c>
      <c r="AG14" s="48">
        <f>(Z14+AC14+AF14)*1%*30</f>
        <v>22.5</v>
      </c>
      <c r="AH14" s="48">
        <f>Z14+AC14+AF14+AG14</f>
        <v>97.5</v>
      </c>
      <c r="AI14" s="34">
        <f t="shared" si="9"/>
        <v>44966.7</v>
      </c>
      <c r="AJ14" s="34">
        <f t="shared" si="10"/>
        <v>539.6</v>
      </c>
      <c r="AK14" s="50">
        <f t="shared" si="19"/>
        <v>118.7</v>
      </c>
      <c r="AL14" s="50">
        <f t="shared" si="22"/>
        <v>26.4</v>
      </c>
      <c r="AM14" s="50">
        <f t="shared" si="11"/>
        <v>28.6</v>
      </c>
      <c r="AN14" s="50">
        <f t="shared" si="20"/>
        <v>173.7</v>
      </c>
      <c r="AP14" s="51"/>
    </row>
    <row r="15" spans="1:42" ht="27" customHeight="1" x14ac:dyDescent="0.25">
      <c r="A15" s="23">
        <v>7</v>
      </c>
      <c r="B15" s="52" t="s">
        <v>22</v>
      </c>
      <c r="C15" s="277">
        <v>1</v>
      </c>
      <c r="D15" s="53">
        <v>11.061999999999999</v>
      </c>
      <c r="E15" s="46">
        <f>C15*D15</f>
        <v>11.06</v>
      </c>
      <c r="F15" s="47">
        <f>E15*12</f>
        <v>132.69999999999999</v>
      </c>
      <c r="G15" s="24"/>
      <c r="H15" s="24">
        <f>1078.5/1000</f>
        <v>1.1000000000000001</v>
      </c>
      <c r="I15" s="24"/>
      <c r="J15" s="24"/>
      <c r="K15" s="24">
        <f>F15*0.4</f>
        <v>53.1</v>
      </c>
      <c r="L15" s="24">
        <f t="shared" si="12"/>
        <v>42.8</v>
      </c>
      <c r="M15" s="24">
        <f>F15+G15+H15+I15+J15+K15+L15</f>
        <v>229.7</v>
      </c>
      <c r="N15" s="48">
        <v>0.43</v>
      </c>
      <c r="O15" s="24">
        <f>M15*N15</f>
        <v>98.8</v>
      </c>
      <c r="P15" s="24">
        <f>M15+O15</f>
        <v>328.5</v>
      </c>
      <c r="Q15" s="24">
        <f>P15*0.8</f>
        <v>262.8</v>
      </c>
      <c r="R15" s="24">
        <f>P15*0.8</f>
        <v>262.8</v>
      </c>
      <c r="S15" s="24">
        <f>(P15+Q15+R15)*0.032</f>
        <v>27.3</v>
      </c>
      <c r="T15" s="49">
        <f>P15+Q15+R15+S15</f>
        <v>881.4</v>
      </c>
      <c r="U15" s="487"/>
      <c r="V15" s="49">
        <f>T15*$U$9</f>
        <v>881.4</v>
      </c>
      <c r="W15" s="49">
        <f>AN15</f>
        <v>265.7</v>
      </c>
      <c r="X15" s="23">
        <v>1</v>
      </c>
      <c r="Y15" s="24">
        <v>30</v>
      </c>
      <c r="Z15" s="48">
        <f>X15*Y15</f>
        <v>30</v>
      </c>
      <c r="AA15" s="23"/>
      <c r="AB15" s="24">
        <v>15</v>
      </c>
      <c r="AC15" s="48">
        <f>AA15*AB15</f>
        <v>0</v>
      </c>
      <c r="AD15" s="23"/>
      <c r="AE15" s="24">
        <v>30</v>
      </c>
      <c r="AF15" s="48">
        <f>AD15*AE15</f>
        <v>0</v>
      </c>
      <c r="AG15" s="48">
        <f>(Z15+AC15+AF15)*1%*30</f>
        <v>9</v>
      </c>
      <c r="AH15" s="48">
        <f>Z15+AC15+AF15+AG15</f>
        <v>39</v>
      </c>
      <c r="AI15" s="34">
        <f t="shared" si="9"/>
        <v>73450</v>
      </c>
      <c r="AJ15" s="34">
        <f t="shared" si="10"/>
        <v>881.4</v>
      </c>
      <c r="AK15" s="50">
        <f>V15*0.22</f>
        <v>193.9</v>
      </c>
      <c r="AL15" s="50">
        <f>865*0.029*C15</f>
        <v>25.1</v>
      </c>
      <c r="AM15" s="50">
        <f>V15*0.053</f>
        <v>46.7</v>
      </c>
      <c r="AN15" s="50">
        <f>SUM(AK15:AM15)</f>
        <v>265.7</v>
      </c>
      <c r="AP15" s="51"/>
    </row>
    <row r="16" spans="1:42" ht="27" customHeight="1" x14ac:dyDescent="0.25">
      <c r="A16" s="23">
        <v>8</v>
      </c>
      <c r="B16" s="52" t="s">
        <v>28</v>
      </c>
      <c r="C16" s="54">
        <v>5</v>
      </c>
      <c r="D16" s="53">
        <v>9.593</v>
      </c>
      <c r="E16" s="46">
        <f t="shared" si="13"/>
        <v>47.97</v>
      </c>
      <c r="F16" s="47">
        <f t="shared" si="14"/>
        <v>575.6</v>
      </c>
      <c r="G16" s="24"/>
      <c r="H16" s="24">
        <f>4.78</f>
        <v>4.8</v>
      </c>
      <c r="I16" s="24"/>
      <c r="J16" s="24"/>
      <c r="K16" s="24">
        <f>D16*0.2*2*12+D16*0.05*5.5+D16*0.2*7.5</f>
        <v>63.1</v>
      </c>
      <c r="L16" s="24">
        <f t="shared" si="12"/>
        <v>185.4</v>
      </c>
      <c r="M16" s="24">
        <f t="shared" si="0"/>
        <v>828.9</v>
      </c>
      <c r="N16" s="48">
        <v>0.43</v>
      </c>
      <c r="O16" s="24">
        <f t="shared" si="1"/>
        <v>356.4</v>
      </c>
      <c r="P16" s="24">
        <f t="shared" si="15"/>
        <v>1185.3</v>
      </c>
      <c r="Q16" s="24">
        <f t="shared" si="16"/>
        <v>948.2</v>
      </c>
      <c r="R16" s="24">
        <f t="shared" si="2"/>
        <v>948.2</v>
      </c>
      <c r="S16" s="24">
        <f t="shared" si="17"/>
        <v>98.6</v>
      </c>
      <c r="T16" s="49">
        <f t="shared" si="3"/>
        <v>3180.3</v>
      </c>
      <c r="U16" s="487"/>
      <c r="V16" s="49">
        <f>T16*$U$9</f>
        <v>3180.3</v>
      </c>
      <c r="W16" s="49">
        <f t="shared" si="21"/>
        <v>960.5</v>
      </c>
      <c r="X16" s="23"/>
      <c r="Y16" s="24">
        <v>30</v>
      </c>
      <c r="Z16" s="48">
        <f t="shared" si="4"/>
        <v>0</v>
      </c>
      <c r="AA16" s="23"/>
      <c r="AB16" s="24">
        <v>15</v>
      </c>
      <c r="AC16" s="48">
        <f t="shared" si="5"/>
        <v>0</v>
      </c>
      <c r="AD16" s="23"/>
      <c r="AE16" s="24">
        <v>30</v>
      </c>
      <c r="AF16" s="48">
        <f t="shared" si="6"/>
        <v>0</v>
      </c>
      <c r="AG16" s="48">
        <f t="shared" si="7"/>
        <v>0</v>
      </c>
      <c r="AH16" s="48">
        <f t="shared" si="8"/>
        <v>0</v>
      </c>
      <c r="AI16" s="34">
        <f t="shared" si="9"/>
        <v>53005</v>
      </c>
      <c r="AJ16" s="34">
        <f t="shared" si="10"/>
        <v>636.1</v>
      </c>
      <c r="AK16" s="50">
        <f t="shared" si="19"/>
        <v>699.7</v>
      </c>
      <c r="AL16" s="50">
        <f t="shared" si="22"/>
        <v>132.19999999999999</v>
      </c>
      <c r="AM16" s="50">
        <f t="shared" si="11"/>
        <v>168.6</v>
      </c>
      <c r="AN16" s="50">
        <f t="shared" si="20"/>
        <v>1000.5</v>
      </c>
      <c r="AP16" s="51"/>
    </row>
    <row r="17" spans="1:42" ht="27" customHeight="1" x14ac:dyDescent="0.25">
      <c r="A17" s="23">
        <v>9</v>
      </c>
      <c r="B17" s="52" t="s">
        <v>24</v>
      </c>
      <c r="C17" s="54">
        <v>15</v>
      </c>
      <c r="D17" s="53">
        <v>8.5419999999999998</v>
      </c>
      <c r="E17" s="46">
        <f t="shared" si="13"/>
        <v>128.13</v>
      </c>
      <c r="F17" s="47">
        <f t="shared" si="14"/>
        <v>1537.6</v>
      </c>
      <c r="G17" s="24"/>
      <c r="H17" s="24">
        <f>14.25</f>
        <v>14.3</v>
      </c>
      <c r="I17" s="24"/>
      <c r="J17" s="24"/>
      <c r="K17" s="24">
        <f>D17*0.2*8*12+D17*0.25*12+D17*0.05*12+D17*0.3*12</f>
        <v>225.5</v>
      </c>
      <c r="L17" s="24">
        <f t="shared" si="12"/>
        <v>495.4</v>
      </c>
      <c r="M17" s="24">
        <f t="shared" si="0"/>
        <v>2272.8000000000002</v>
      </c>
      <c r="N17" s="48">
        <v>0.4</v>
      </c>
      <c r="O17" s="24">
        <f t="shared" si="1"/>
        <v>909.1</v>
      </c>
      <c r="P17" s="24">
        <f t="shared" si="15"/>
        <v>3181.9</v>
      </c>
      <c r="Q17" s="24">
        <f t="shared" si="16"/>
        <v>2545.5</v>
      </c>
      <c r="R17" s="24">
        <f t="shared" si="2"/>
        <v>2545.5</v>
      </c>
      <c r="S17" s="24">
        <f t="shared" si="17"/>
        <v>264.7</v>
      </c>
      <c r="T17" s="49">
        <f t="shared" si="3"/>
        <v>8537.6</v>
      </c>
      <c r="U17" s="487"/>
      <c r="V17" s="49">
        <f t="shared" si="18"/>
        <v>8537.6</v>
      </c>
      <c r="W17" s="49">
        <f t="shared" si="21"/>
        <v>2578.4</v>
      </c>
      <c r="X17" s="23">
        <v>10</v>
      </c>
      <c r="Y17" s="24">
        <v>30</v>
      </c>
      <c r="Z17" s="48">
        <f t="shared" si="4"/>
        <v>300</v>
      </c>
      <c r="AA17" s="23">
        <v>3</v>
      </c>
      <c r="AB17" s="24">
        <v>15</v>
      </c>
      <c r="AC17" s="48">
        <f t="shared" si="5"/>
        <v>45</v>
      </c>
      <c r="AD17" s="23">
        <v>2</v>
      </c>
      <c r="AE17" s="24">
        <v>30</v>
      </c>
      <c r="AF17" s="48">
        <f t="shared" si="6"/>
        <v>60</v>
      </c>
      <c r="AG17" s="48">
        <f>(Z17+AC17+AF17)*1%*30</f>
        <v>121.5</v>
      </c>
      <c r="AH17" s="48">
        <f t="shared" si="8"/>
        <v>526.5</v>
      </c>
      <c r="AI17" s="34">
        <f t="shared" si="9"/>
        <v>47431.1</v>
      </c>
      <c r="AJ17" s="34">
        <f t="shared" si="10"/>
        <v>569.20000000000005</v>
      </c>
      <c r="AK17" s="50">
        <f t="shared" si="19"/>
        <v>1878.3</v>
      </c>
      <c r="AL17" s="50">
        <f t="shared" si="22"/>
        <v>396.7</v>
      </c>
      <c r="AM17" s="50">
        <f t="shared" si="11"/>
        <v>452.5</v>
      </c>
      <c r="AN17" s="50">
        <f t="shared" si="20"/>
        <v>2727.5</v>
      </c>
      <c r="AP17" s="51"/>
    </row>
    <row r="18" spans="1:42" ht="27" customHeight="1" x14ac:dyDescent="0.25">
      <c r="A18" s="23">
        <v>10</v>
      </c>
      <c r="B18" s="55" t="s">
        <v>26</v>
      </c>
      <c r="C18" s="56">
        <v>16</v>
      </c>
      <c r="D18" s="53">
        <v>4.3109999999999999</v>
      </c>
      <c r="E18" s="46">
        <f>C18*D18</f>
        <v>68.98</v>
      </c>
      <c r="F18" s="47">
        <f>E18*12</f>
        <v>827.8</v>
      </c>
      <c r="G18" s="24"/>
      <c r="H18" s="24">
        <f>27739.8/1000</f>
        <v>27.7</v>
      </c>
      <c r="I18" s="24"/>
      <c r="J18" s="24"/>
      <c r="K18" s="24"/>
      <c r="L18" s="24">
        <v>390</v>
      </c>
      <c r="M18" s="24">
        <f>F18+G18+H18+I18+J18+K18+L18</f>
        <v>1245.5</v>
      </c>
      <c r="N18" s="48">
        <v>0.75</v>
      </c>
      <c r="O18" s="24">
        <f>M18*N18</f>
        <v>934.1</v>
      </c>
      <c r="P18" s="24">
        <f>M18+O18</f>
        <v>2179.6</v>
      </c>
      <c r="Q18" s="24">
        <f>P18*0.8</f>
        <v>1743.7</v>
      </c>
      <c r="R18" s="24">
        <f>P18*0.8</f>
        <v>1743.7</v>
      </c>
      <c r="S18" s="24">
        <f>(P18+Q18+R18)*0.032</f>
        <v>181.3</v>
      </c>
      <c r="T18" s="49">
        <f>P18+Q18+R18+S18</f>
        <v>5848.3</v>
      </c>
      <c r="U18" s="487"/>
      <c r="V18" s="49">
        <f>T18*$U$9</f>
        <v>5848.3</v>
      </c>
      <c r="W18" s="49">
        <f t="shared" si="21"/>
        <v>1766.2</v>
      </c>
      <c r="X18" s="23">
        <v>7</v>
      </c>
      <c r="Y18" s="24">
        <v>30</v>
      </c>
      <c r="Z18" s="48">
        <f>X18*Y18</f>
        <v>210</v>
      </c>
      <c r="AA18" s="23">
        <v>2</v>
      </c>
      <c r="AB18" s="24">
        <v>15</v>
      </c>
      <c r="AC18" s="48">
        <f>AA18*AB18</f>
        <v>30</v>
      </c>
      <c r="AD18" s="23">
        <v>1</v>
      </c>
      <c r="AE18" s="24">
        <v>30</v>
      </c>
      <c r="AF18" s="48">
        <f>AD18*AE18</f>
        <v>30</v>
      </c>
      <c r="AG18" s="48">
        <f>(Z18+AC18+AF18)*1%*30</f>
        <v>81</v>
      </c>
      <c r="AH18" s="48">
        <f>Z18+AC18+AF18+AG18</f>
        <v>351</v>
      </c>
      <c r="AI18" s="34">
        <f t="shared" si="9"/>
        <v>30459.9</v>
      </c>
      <c r="AJ18" s="34">
        <f t="shared" si="10"/>
        <v>365.5</v>
      </c>
      <c r="AK18" s="50">
        <f t="shared" si="19"/>
        <v>1286.5999999999999</v>
      </c>
      <c r="AL18" s="50">
        <f t="shared" si="22"/>
        <v>423.2</v>
      </c>
      <c r="AM18" s="50">
        <f t="shared" si="11"/>
        <v>310</v>
      </c>
      <c r="AN18" s="50">
        <f t="shared" si="20"/>
        <v>2019.8</v>
      </c>
      <c r="AP18" s="51"/>
    </row>
    <row r="19" spans="1:42" ht="27" customHeight="1" x14ac:dyDescent="0.25">
      <c r="A19" s="23">
        <v>11</v>
      </c>
      <c r="B19" s="55" t="s">
        <v>50</v>
      </c>
      <c r="C19" s="57">
        <v>2</v>
      </c>
      <c r="D19" s="53">
        <v>8.4730000000000008</v>
      </c>
      <c r="E19" s="46">
        <f t="shared" si="13"/>
        <v>16.95</v>
      </c>
      <c r="F19" s="47">
        <f t="shared" si="14"/>
        <v>203.4</v>
      </c>
      <c r="G19" s="24"/>
      <c r="H19" s="24">
        <f>1652.1/1000</f>
        <v>1.7</v>
      </c>
      <c r="I19" s="24"/>
      <c r="J19" s="24"/>
      <c r="K19" s="24">
        <f>D19*0.25*12+D19*0.2*12</f>
        <v>45.8</v>
      </c>
      <c r="L19" s="24">
        <f t="shared" si="12"/>
        <v>65.5</v>
      </c>
      <c r="M19" s="24">
        <f t="shared" si="0"/>
        <v>316.39999999999998</v>
      </c>
      <c r="N19" s="48">
        <v>0.41</v>
      </c>
      <c r="O19" s="24">
        <f t="shared" si="1"/>
        <v>129.69999999999999</v>
      </c>
      <c r="P19" s="24">
        <f t="shared" si="15"/>
        <v>446.1</v>
      </c>
      <c r="Q19" s="24">
        <f t="shared" si="16"/>
        <v>356.9</v>
      </c>
      <c r="R19" s="24">
        <f t="shared" si="2"/>
        <v>356.9</v>
      </c>
      <c r="S19" s="24">
        <f t="shared" si="17"/>
        <v>37.1</v>
      </c>
      <c r="T19" s="49">
        <f t="shared" si="3"/>
        <v>1197</v>
      </c>
      <c r="U19" s="487"/>
      <c r="V19" s="49">
        <f t="shared" si="18"/>
        <v>1197</v>
      </c>
      <c r="W19" s="49">
        <f t="shared" si="21"/>
        <v>361.5</v>
      </c>
      <c r="X19" s="23">
        <v>2</v>
      </c>
      <c r="Y19" s="24">
        <v>30</v>
      </c>
      <c r="Z19" s="48">
        <f t="shared" si="4"/>
        <v>60</v>
      </c>
      <c r="AA19" s="23"/>
      <c r="AB19" s="24">
        <v>15</v>
      </c>
      <c r="AC19" s="48">
        <f t="shared" si="5"/>
        <v>0</v>
      </c>
      <c r="AD19" s="23"/>
      <c r="AE19" s="24">
        <v>30</v>
      </c>
      <c r="AF19" s="48">
        <f t="shared" si="6"/>
        <v>0</v>
      </c>
      <c r="AG19" s="48">
        <f t="shared" si="7"/>
        <v>18</v>
      </c>
      <c r="AH19" s="48">
        <f t="shared" si="8"/>
        <v>78</v>
      </c>
      <c r="AI19" s="34">
        <f t="shared" si="9"/>
        <v>49875</v>
      </c>
      <c r="AJ19" s="34">
        <f t="shared" si="10"/>
        <v>598.5</v>
      </c>
      <c r="AK19" s="50">
        <f t="shared" si="19"/>
        <v>263.3</v>
      </c>
      <c r="AL19" s="50">
        <f t="shared" si="22"/>
        <v>52.9</v>
      </c>
      <c r="AM19" s="50">
        <f t="shared" si="11"/>
        <v>63.4</v>
      </c>
      <c r="AN19" s="50">
        <f t="shared" si="20"/>
        <v>379.6</v>
      </c>
      <c r="AP19" s="51"/>
    </row>
    <row r="20" spans="1:42" ht="27" customHeight="1" x14ac:dyDescent="0.25">
      <c r="A20" s="23">
        <v>12</v>
      </c>
      <c r="B20" s="52" t="s">
        <v>18</v>
      </c>
      <c r="C20" s="47">
        <v>1</v>
      </c>
      <c r="D20" s="53">
        <v>8.4730000000000008</v>
      </c>
      <c r="E20" s="46">
        <f t="shared" si="13"/>
        <v>8.4700000000000006</v>
      </c>
      <c r="F20" s="47">
        <f t="shared" si="14"/>
        <v>101.6</v>
      </c>
      <c r="G20" s="24"/>
      <c r="H20" s="24">
        <f>826.1/1000</f>
        <v>0.8</v>
      </c>
      <c r="I20" s="24"/>
      <c r="J20" s="24"/>
      <c r="K20" s="24">
        <f>D20*0.35*12+D20*0.05*9</f>
        <v>39.4</v>
      </c>
      <c r="L20" s="24">
        <f t="shared" si="12"/>
        <v>32.700000000000003</v>
      </c>
      <c r="M20" s="24">
        <f t="shared" si="0"/>
        <v>174.5</v>
      </c>
      <c r="N20" s="48">
        <v>0.41</v>
      </c>
      <c r="O20" s="24">
        <f t="shared" si="1"/>
        <v>71.5</v>
      </c>
      <c r="P20" s="24">
        <f t="shared" si="15"/>
        <v>246</v>
      </c>
      <c r="Q20" s="24">
        <f t="shared" si="16"/>
        <v>196.8</v>
      </c>
      <c r="R20" s="24">
        <f t="shared" si="2"/>
        <v>196.8</v>
      </c>
      <c r="S20" s="24">
        <f t="shared" si="17"/>
        <v>20.5</v>
      </c>
      <c r="T20" s="49">
        <f t="shared" si="3"/>
        <v>660.1</v>
      </c>
      <c r="U20" s="487"/>
      <c r="V20" s="49">
        <f t="shared" si="18"/>
        <v>660.1</v>
      </c>
      <c r="W20" s="49">
        <f t="shared" si="21"/>
        <v>199.4</v>
      </c>
      <c r="X20" s="23"/>
      <c r="Y20" s="24">
        <v>30</v>
      </c>
      <c r="Z20" s="48">
        <f t="shared" si="4"/>
        <v>0</v>
      </c>
      <c r="AA20" s="23"/>
      <c r="AB20" s="24">
        <v>15</v>
      </c>
      <c r="AC20" s="48">
        <f t="shared" si="5"/>
        <v>0</v>
      </c>
      <c r="AD20" s="23"/>
      <c r="AE20" s="24">
        <v>30</v>
      </c>
      <c r="AF20" s="48">
        <f t="shared" si="6"/>
        <v>0</v>
      </c>
      <c r="AG20" s="48">
        <f t="shared" si="7"/>
        <v>0</v>
      </c>
      <c r="AH20" s="48">
        <f t="shared" si="8"/>
        <v>0</v>
      </c>
      <c r="AI20" s="34">
        <f t="shared" si="9"/>
        <v>55008.3</v>
      </c>
      <c r="AJ20" s="34">
        <f t="shared" si="10"/>
        <v>660.1</v>
      </c>
      <c r="AK20" s="50">
        <f t="shared" si="19"/>
        <v>145.19999999999999</v>
      </c>
      <c r="AL20" s="50">
        <f t="shared" si="22"/>
        <v>26.4</v>
      </c>
      <c r="AM20" s="50">
        <f t="shared" si="11"/>
        <v>35</v>
      </c>
      <c r="AN20" s="50">
        <f t="shared" si="20"/>
        <v>206.6</v>
      </c>
      <c r="AP20" s="51"/>
    </row>
    <row r="21" spans="1:42" ht="27" customHeight="1" x14ac:dyDescent="0.25">
      <c r="A21" s="23">
        <v>13</v>
      </c>
      <c r="B21" s="52" t="s">
        <v>106</v>
      </c>
      <c r="C21" s="47">
        <v>1</v>
      </c>
      <c r="D21" s="53">
        <v>8.4730000000000008</v>
      </c>
      <c r="E21" s="46">
        <f>C21*D21</f>
        <v>8.4700000000000006</v>
      </c>
      <c r="F21" s="47">
        <f>E21*12</f>
        <v>101.6</v>
      </c>
      <c r="G21" s="24"/>
      <c r="H21" s="24">
        <f>917.9/1000</f>
        <v>0.9</v>
      </c>
      <c r="I21" s="24"/>
      <c r="J21" s="24"/>
      <c r="K21" s="24"/>
      <c r="L21" s="24">
        <f>F21*$L$4</f>
        <v>32.700000000000003</v>
      </c>
      <c r="M21" s="24">
        <f>F21+G21+H21+I21+J21+K21+L21</f>
        <v>135.19999999999999</v>
      </c>
      <c r="N21" s="48">
        <v>0.47</v>
      </c>
      <c r="O21" s="24">
        <f t="shared" si="1"/>
        <v>63.5</v>
      </c>
      <c r="P21" s="24">
        <f t="shared" si="15"/>
        <v>198.7</v>
      </c>
      <c r="Q21" s="24">
        <f t="shared" si="16"/>
        <v>159</v>
      </c>
      <c r="R21" s="24">
        <f t="shared" si="2"/>
        <v>159</v>
      </c>
      <c r="S21" s="24">
        <f t="shared" si="17"/>
        <v>16.5</v>
      </c>
      <c r="T21" s="49">
        <f t="shared" si="3"/>
        <v>533.20000000000005</v>
      </c>
      <c r="U21" s="487"/>
      <c r="V21" s="49">
        <f t="shared" si="18"/>
        <v>533.20000000000005</v>
      </c>
      <c r="W21" s="49">
        <f t="shared" si="21"/>
        <v>161</v>
      </c>
      <c r="X21" s="23"/>
      <c r="Y21" s="24">
        <v>30</v>
      </c>
      <c r="Z21" s="48">
        <f>X21*Y21</f>
        <v>0</v>
      </c>
      <c r="AA21" s="23"/>
      <c r="AB21" s="24">
        <v>15</v>
      </c>
      <c r="AC21" s="48">
        <f>AA21*AB21</f>
        <v>0</v>
      </c>
      <c r="AD21" s="23"/>
      <c r="AE21" s="24">
        <v>30</v>
      </c>
      <c r="AF21" s="48">
        <f>AD21*AE21</f>
        <v>0</v>
      </c>
      <c r="AG21" s="48">
        <f>(Z21+AC21+AF21)*1%*30</f>
        <v>0</v>
      </c>
      <c r="AH21" s="48">
        <f>Z21+AC21+AF21+AG21</f>
        <v>0</v>
      </c>
      <c r="AI21" s="34">
        <f t="shared" si="9"/>
        <v>44433.3</v>
      </c>
      <c r="AJ21" s="34">
        <f t="shared" si="10"/>
        <v>533.20000000000005</v>
      </c>
      <c r="AK21" s="50">
        <f t="shared" si="19"/>
        <v>117.3</v>
      </c>
      <c r="AL21" s="50">
        <f t="shared" si="22"/>
        <v>26.4</v>
      </c>
      <c r="AM21" s="50">
        <f t="shared" si="11"/>
        <v>28.3</v>
      </c>
      <c r="AN21" s="50">
        <f t="shared" si="20"/>
        <v>172</v>
      </c>
      <c r="AP21" s="51"/>
    </row>
    <row r="22" spans="1:42" ht="23.25" customHeight="1" x14ac:dyDescent="0.25">
      <c r="A22" s="23">
        <v>14</v>
      </c>
      <c r="B22" s="52" t="s">
        <v>29</v>
      </c>
      <c r="C22" s="57">
        <v>1</v>
      </c>
      <c r="D22" s="53">
        <v>8.4730000000000008</v>
      </c>
      <c r="E22" s="46">
        <f>C22*D22</f>
        <v>8.4700000000000006</v>
      </c>
      <c r="F22" s="47">
        <f>E22*12</f>
        <v>101.6</v>
      </c>
      <c r="G22" s="24"/>
      <c r="H22" s="24">
        <f>1239.1/1000</f>
        <v>1.2</v>
      </c>
      <c r="I22" s="24"/>
      <c r="J22" s="24"/>
      <c r="K22" s="24">
        <f>D22*0.4*12</f>
        <v>40.700000000000003</v>
      </c>
      <c r="L22" s="24">
        <f t="shared" si="12"/>
        <v>32.700000000000003</v>
      </c>
      <c r="M22" s="24">
        <f>F22+G22+H22+I22+J22+K22+L22</f>
        <v>176.2</v>
      </c>
      <c r="N22" s="48">
        <v>0.41</v>
      </c>
      <c r="O22" s="24">
        <f t="shared" si="1"/>
        <v>72.2</v>
      </c>
      <c r="P22" s="24">
        <f t="shared" si="15"/>
        <v>248.4</v>
      </c>
      <c r="Q22" s="24">
        <f t="shared" si="16"/>
        <v>198.7</v>
      </c>
      <c r="R22" s="24">
        <f t="shared" si="2"/>
        <v>198.7</v>
      </c>
      <c r="S22" s="24">
        <f t="shared" si="17"/>
        <v>20.7</v>
      </c>
      <c r="T22" s="49">
        <f t="shared" si="3"/>
        <v>666.5</v>
      </c>
      <c r="U22" s="487"/>
      <c r="V22" s="49">
        <f t="shared" si="18"/>
        <v>666.5</v>
      </c>
      <c r="W22" s="49">
        <f t="shared" si="21"/>
        <v>201.3</v>
      </c>
      <c r="X22" s="23">
        <v>2</v>
      </c>
      <c r="Y22" s="24">
        <v>30</v>
      </c>
      <c r="Z22" s="48">
        <f t="shared" si="4"/>
        <v>60</v>
      </c>
      <c r="AA22" s="23">
        <v>1</v>
      </c>
      <c r="AB22" s="24">
        <v>15</v>
      </c>
      <c r="AC22" s="48">
        <f t="shared" si="5"/>
        <v>15</v>
      </c>
      <c r="AD22" s="23"/>
      <c r="AE22" s="24">
        <v>30</v>
      </c>
      <c r="AF22" s="48">
        <f t="shared" si="6"/>
        <v>0</v>
      </c>
      <c r="AG22" s="48">
        <f t="shared" si="7"/>
        <v>22.5</v>
      </c>
      <c r="AH22" s="48">
        <f t="shared" si="8"/>
        <v>97.5</v>
      </c>
      <c r="AI22" s="34">
        <f t="shared" si="9"/>
        <v>55541.7</v>
      </c>
      <c r="AJ22" s="34">
        <f t="shared" si="10"/>
        <v>666.5</v>
      </c>
      <c r="AK22" s="50">
        <f t="shared" si="19"/>
        <v>146.6</v>
      </c>
      <c r="AL22" s="50">
        <f t="shared" si="22"/>
        <v>26.4</v>
      </c>
      <c r="AM22" s="50">
        <f t="shared" si="11"/>
        <v>35.299999999999997</v>
      </c>
      <c r="AN22" s="50">
        <f t="shared" si="20"/>
        <v>208.3</v>
      </c>
      <c r="AP22" s="51"/>
    </row>
    <row r="23" spans="1:42" ht="23.25" customHeight="1" x14ac:dyDescent="0.25">
      <c r="A23" s="23">
        <v>15</v>
      </c>
      <c r="B23" s="52" t="s">
        <v>20</v>
      </c>
      <c r="C23" s="47">
        <v>0.5</v>
      </c>
      <c r="D23" s="53">
        <v>8.4730000000000008</v>
      </c>
      <c r="E23" s="46">
        <f>C23*D23</f>
        <v>4.24</v>
      </c>
      <c r="F23" s="47">
        <f>E23*12</f>
        <v>50.9</v>
      </c>
      <c r="G23" s="24"/>
      <c r="H23" s="24"/>
      <c r="I23" s="24"/>
      <c r="J23" s="24"/>
      <c r="K23" s="24"/>
      <c r="L23" s="24">
        <f>F23*$L$4</f>
        <v>16.399999999999999</v>
      </c>
      <c r="M23" s="24">
        <f>F23+G23+H23+I23+J23+K23+L23</f>
        <v>67.3</v>
      </c>
      <c r="N23" s="48">
        <v>0.41</v>
      </c>
      <c r="O23" s="24">
        <f>M23*N23</f>
        <v>27.6</v>
      </c>
      <c r="P23" s="24">
        <f>M23+O23</f>
        <v>94.9</v>
      </c>
      <c r="Q23" s="24">
        <f>P23*0.8</f>
        <v>75.900000000000006</v>
      </c>
      <c r="R23" s="24">
        <f>P23*0.8</f>
        <v>75.900000000000006</v>
      </c>
      <c r="S23" s="24">
        <f>(P23+Q23+R23)*0.032</f>
        <v>7.9</v>
      </c>
      <c r="T23" s="49">
        <f>P23+Q23+R23+S23</f>
        <v>254.6</v>
      </c>
      <c r="U23" s="487"/>
      <c r="V23" s="49">
        <f>T23*$U$9</f>
        <v>254.6</v>
      </c>
      <c r="W23" s="49">
        <f t="shared" si="21"/>
        <v>76.900000000000006</v>
      </c>
      <c r="X23" s="23"/>
      <c r="Y23" s="24">
        <v>30</v>
      </c>
      <c r="Z23" s="48">
        <f>X23*Y23</f>
        <v>0</v>
      </c>
      <c r="AA23" s="23"/>
      <c r="AB23" s="24">
        <v>15</v>
      </c>
      <c r="AC23" s="48">
        <f>AA23*AB23</f>
        <v>0</v>
      </c>
      <c r="AD23" s="23"/>
      <c r="AE23" s="24">
        <v>30</v>
      </c>
      <c r="AF23" s="48">
        <f>AD23*AE23</f>
        <v>0</v>
      </c>
      <c r="AG23" s="48">
        <f>(Z23+AC23+AF23)*1%*30</f>
        <v>0</v>
      </c>
      <c r="AH23" s="48">
        <f>Z23+AC23+AF23+AG23</f>
        <v>0</v>
      </c>
      <c r="AI23" s="34">
        <f t="shared" si="9"/>
        <v>42433.3</v>
      </c>
      <c r="AJ23" s="34">
        <f t="shared" si="10"/>
        <v>509.2</v>
      </c>
      <c r="AK23" s="50">
        <f t="shared" si="19"/>
        <v>56</v>
      </c>
      <c r="AL23" s="50">
        <f t="shared" si="22"/>
        <v>13.2</v>
      </c>
      <c r="AM23" s="50">
        <f t="shared" si="11"/>
        <v>13.5</v>
      </c>
      <c r="AN23" s="50">
        <f t="shared" si="20"/>
        <v>82.7</v>
      </c>
      <c r="AP23" s="51"/>
    </row>
    <row r="24" spans="1:42" ht="23.25" customHeight="1" x14ac:dyDescent="0.25">
      <c r="A24" s="23">
        <v>16</v>
      </c>
      <c r="B24" s="52" t="s">
        <v>30</v>
      </c>
      <c r="C24" s="57">
        <v>2</v>
      </c>
      <c r="D24" s="53">
        <v>8.4730000000000008</v>
      </c>
      <c r="E24" s="46">
        <f>C24*D24</f>
        <v>16.95</v>
      </c>
      <c r="F24" s="47">
        <f>E24*12</f>
        <v>203.4</v>
      </c>
      <c r="G24" s="24"/>
      <c r="H24" s="24">
        <f>1652.1/1000</f>
        <v>1.7</v>
      </c>
      <c r="I24" s="24"/>
      <c r="J24" s="24"/>
      <c r="K24" s="24">
        <f>D24*0.3*12+D24*0.25*12+D24*0.05*1</f>
        <v>56.3</v>
      </c>
      <c r="L24" s="24">
        <f t="shared" si="12"/>
        <v>65.5</v>
      </c>
      <c r="M24" s="24">
        <f>F24+G24+H24+I24+J24+K24+L24</f>
        <v>326.89999999999998</v>
      </c>
      <c r="N24" s="48">
        <v>0.41</v>
      </c>
      <c r="O24" s="24">
        <f t="shared" si="1"/>
        <v>134</v>
      </c>
      <c r="P24" s="24">
        <f t="shared" si="15"/>
        <v>460.9</v>
      </c>
      <c r="Q24" s="24">
        <f t="shared" si="16"/>
        <v>368.7</v>
      </c>
      <c r="R24" s="24">
        <f t="shared" si="2"/>
        <v>368.7</v>
      </c>
      <c r="S24" s="24">
        <f t="shared" si="17"/>
        <v>38.299999999999997</v>
      </c>
      <c r="T24" s="49">
        <f t="shared" si="3"/>
        <v>1236.5999999999999</v>
      </c>
      <c r="U24" s="487"/>
      <c r="V24" s="49">
        <f t="shared" si="18"/>
        <v>1236.5999999999999</v>
      </c>
      <c r="W24" s="49">
        <f t="shared" si="21"/>
        <v>373.5</v>
      </c>
      <c r="X24" s="23"/>
      <c r="Y24" s="24">
        <v>30</v>
      </c>
      <c r="Z24" s="48">
        <f t="shared" si="4"/>
        <v>0</v>
      </c>
      <c r="AA24" s="23"/>
      <c r="AB24" s="24">
        <v>15</v>
      </c>
      <c r="AC24" s="48">
        <f t="shared" si="5"/>
        <v>0</v>
      </c>
      <c r="AD24" s="23"/>
      <c r="AE24" s="24">
        <v>30</v>
      </c>
      <c r="AF24" s="48">
        <f t="shared" si="6"/>
        <v>0</v>
      </c>
      <c r="AG24" s="48">
        <f t="shared" si="7"/>
        <v>0</v>
      </c>
      <c r="AH24" s="48">
        <f t="shared" si="8"/>
        <v>0</v>
      </c>
      <c r="AI24" s="34">
        <f t="shared" si="9"/>
        <v>51525</v>
      </c>
      <c r="AJ24" s="34">
        <f t="shared" si="10"/>
        <v>618.29999999999995</v>
      </c>
      <c r="AK24" s="50">
        <f t="shared" si="19"/>
        <v>272.10000000000002</v>
      </c>
      <c r="AL24" s="50">
        <f t="shared" si="22"/>
        <v>52.9</v>
      </c>
      <c r="AM24" s="50">
        <f t="shared" si="11"/>
        <v>65.5</v>
      </c>
      <c r="AN24" s="50">
        <f t="shared" si="20"/>
        <v>390.5</v>
      </c>
      <c r="AP24" s="51"/>
    </row>
    <row r="25" spans="1:42" ht="27" customHeight="1" x14ac:dyDescent="0.25">
      <c r="A25" s="23">
        <v>17</v>
      </c>
      <c r="B25" s="52" t="s">
        <v>33</v>
      </c>
      <c r="C25" s="57">
        <v>1</v>
      </c>
      <c r="D25" s="53">
        <v>8.4730000000000008</v>
      </c>
      <c r="E25" s="46">
        <f t="shared" si="13"/>
        <v>8.4700000000000006</v>
      </c>
      <c r="F25" s="47">
        <f t="shared" si="14"/>
        <v>101.6</v>
      </c>
      <c r="G25" s="24"/>
      <c r="H25" s="24">
        <f>826.1/1000</f>
        <v>0.8</v>
      </c>
      <c r="I25" s="24"/>
      <c r="J25" s="24"/>
      <c r="K25" s="24">
        <f>F25*0.2</f>
        <v>20.3</v>
      </c>
      <c r="L25" s="24">
        <f t="shared" si="12"/>
        <v>32.700000000000003</v>
      </c>
      <c r="M25" s="24">
        <f>F25+G25+H25+I25+J25+K25+L25</f>
        <v>155.4</v>
      </c>
      <c r="N25" s="48">
        <v>0.41</v>
      </c>
      <c r="O25" s="24">
        <f t="shared" si="1"/>
        <v>63.7</v>
      </c>
      <c r="P25" s="24">
        <f t="shared" si="15"/>
        <v>219.1</v>
      </c>
      <c r="Q25" s="24">
        <f t="shared" si="16"/>
        <v>175.3</v>
      </c>
      <c r="R25" s="24">
        <f t="shared" si="2"/>
        <v>175.3</v>
      </c>
      <c r="S25" s="24">
        <f t="shared" si="17"/>
        <v>18.2</v>
      </c>
      <c r="T25" s="49">
        <f t="shared" si="3"/>
        <v>587.9</v>
      </c>
      <c r="U25" s="487"/>
      <c r="V25" s="49">
        <f t="shared" si="18"/>
        <v>587.9</v>
      </c>
      <c r="W25" s="49">
        <f t="shared" si="21"/>
        <v>177.5</v>
      </c>
      <c r="X25" s="23"/>
      <c r="Y25" s="24">
        <v>30</v>
      </c>
      <c r="Z25" s="48">
        <f t="shared" si="4"/>
        <v>0</v>
      </c>
      <c r="AA25" s="23"/>
      <c r="AB25" s="24">
        <v>15</v>
      </c>
      <c r="AC25" s="48">
        <f t="shared" si="5"/>
        <v>0</v>
      </c>
      <c r="AD25" s="23"/>
      <c r="AE25" s="24">
        <v>30</v>
      </c>
      <c r="AF25" s="48">
        <f t="shared" si="6"/>
        <v>0</v>
      </c>
      <c r="AG25" s="48">
        <f t="shared" si="7"/>
        <v>0</v>
      </c>
      <c r="AH25" s="48">
        <f t="shared" si="8"/>
        <v>0</v>
      </c>
      <c r="AI25" s="34">
        <f t="shared" si="9"/>
        <v>48991.7</v>
      </c>
      <c r="AJ25" s="34">
        <f t="shared" si="10"/>
        <v>587.9</v>
      </c>
      <c r="AK25" s="50">
        <f t="shared" si="19"/>
        <v>129.30000000000001</v>
      </c>
      <c r="AL25" s="50">
        <f t="shared" si="22"/>
        <v>26.4</v>
      </c>
      <c r="AM25" s="50">
        <f t="shared" si="11"/>
        <v>31.2</v>
      </c>
      <c r="AN25" s="50">
        <f t="shared" si="20"/>
        <v>186.9</v>
      </c>
      <c r="AP25" s="51"/>
    </row>
    <row r="26" spans="1:42" ht="27" customHeight="1" x14ac:dyDescent="0.25">
      <c r="A26" s="23">
        <v>18</v>
      </c>
      <c r="B26" s="55" t="s">
        <v>92</v>
      </c>
      <c r="C26" s="56">
        <v>3</v>
      </c>
      <c r="D26" s="53">
        <v>4.3769999999999998</v>
      </c>
      <c r="E26" s="46">
        <f t="shared" si="13"/>
        <v>13.13</v>
      </c>
      <c r="F26" s="47">
        <f t="shared" si="14"/>
        <v>157.6</v>
      </c>
      <c r="G26" s="24"/>
      <c r="H26" s="24">
        <f>7681.2/1000</f>
        <v>7.7</v>
      </c>
      <c r="I26" s="24"/>
      <c r="J26" s="24"/>
      <c r="K26" s="24"/>
      <c r="L26" s="24">
        <v>105</v>
      </c>
      <c r="M26" s="24">
        <f t="shared" si="0"/>
        <v>270.3</v>
      </c>
      <c r="N26" s="48">
        <v>0.47</v>
      </c>
      <c r="O26" s="24">
        <f t="shared" si="1"/>
        <v>127</v>
      </c>
      <c r="P26" s="24">
        <f t="shared" si="15"/>
        <v>397.3</v>
      </c>
      <c r="Q26" s="24">
        <f t="shared" si="16"/>
        <v>317.8</v>
      </c>
      <c r="R26" s="24">
        <f t="shared" si="2"/>
        <v>317.8</v>
      </c>
      <c r="S26" s="24">
        <f t="shared" si="17"/>
        <v>33.1</v>
      </c>
      <c r="T26" s="49">
        <f t="shared" si="3"/>
        <v>1066</v>
      </c>
      <c r="U26" s="487"/>
      <c r="V26" s="49">
        <f>T26*$U$9</f>
        <v>1066</v>
      </c>
      <c r="W26" s="49">
        <f t="shared" si="21"/>
        <v>321.89999999999998</v>
      </c>
      <c r="X26" s="23"/>
      <c r="Y26" s="24">
        <v>30</v>
      </c>
      <c r="Z26" s="48">
        <f>X26*Y26</f>
        <v>0</v>
      </c>
      <c r="AA26" s="23"/>
      <c r="AB26" s="24">
        <v>15</v>
      </c>
      <c r="AC26" s="48">
        <f>AA26*AB26</f>
        <v>0</v>
      </c>
      <c r="AD26" s="23"/>
      <c r="AE26" s="24">
        <v>30</v>
      </c>
      <c r="AF26" s="48">
        <f>AD26*AE26</f>
        <v>0</v>
      </c>
      <c r="AG26" s="48">
        <f>(Z26+AC26+AF26)*1%*30</f>
        <v>0</v>
      </c>
      <c r="AH26" s="48">
        <f>Z26+AC26+AF26+AG26</f>
        <v>0</v>
      </c>
      <c r="AI26" s="34">
        <f t="shared" si="9"/>
        <v>29611.1</v>
      </c>
      <c r="AJ26" s="34">
        <f t="shared" si="10"/>
        <v>355.3</v>
      </c>
      <c r="AK26" s="50">
        <f t="shared" si="19"/>
        <v>234.5</v>
      </c>
      <c r="AL26" s="50">
        <f t="shared" si="22"/>
        <v>79.3</v>
      </c>
      <c r="AM26" s="50">
        <f t="shared" si="11"/>
        <v>56.5</v>
      </c>
      <c r="AN26" s="50">
        <f t="shared" si="20"/>
        <v>370.3</v>
      </c>
      <c r="AP26" s="51"/>
    </row>
    <row r="27" spans="1:42" ht="27" customHeight="1" x14ac:dyDescent="0.25">
      <c r="A27" s="23">
        <v>19</v>
      </c>
      <c r="B27" s="44" t="s">
        <v>102</v>
      </c>
      <c r="C27" s="58">
        <v>2</v>
      </c>
      <c r="D27" s="53">
        <v>4.3769999999999998</v>
      </c>
      <c r="E27" s="46">
        <f t="shared" si="13"/>
        <v>8.75</v>
      </c>
      <c r="F27" s="47">
        <f t="shared" si="14"/>
        <v>105</v>
      </c>
      <c r="G27" s="24"/>
      <c r="H27" s="24">
        <f>948.3/1000</f>
        <v>0.9</v>
      </c>
      <c r="I27" s="24"/>
      <c r="J27" s="24"/>
      <c r="K27" s="24"/>
      <c r="L27" s="24">
        <v>72</v>
      </c>
      <c r="M27" s="24">
        <f t="shared" si="0"/>
        <v>177.9</v>
      </c>
      <c r="N27" s="48">
        <v>0.49</v>
      </c>
      <c r="O27" s="24">
        <f t="shared" si="1"/>
        <v>87.2</v>
      </c>
      <c r="P27" s="24">
        <f t="shared" si="15"/>
        <v>265.10000000000002</v>
      </c>
      <c r="Q27" s="24">
        <f t="shared" si="16"/>
        <v>212.1</v>
      </c>
      <c r="R27" s="24">
        <f t="shared" si="2"/>
        <v>212.1</v>
      </c>
      <c r="S27" s="24">
        <f t="shared" si="17"/>
        <v>22.1</v>
      </c>
      <c r="T27" s="49">
        <f t="shared" si="3"/>
        <v>711.4</v>
      </c>
      <c r="U27" s="487"/>
      <c r="V27" s="49">
        <f>T27*$U$9-0.2</f>
        <v>711.2</v>
      </c>
      <c r="W27" s="49">
        <f>V27*0.302</f>
        <v>214.8</v>
      </c>
      <c r="X27" s="23"/>
      <c r="Y27" s="24">
        <v>30</v>
      </c>
      <c r="Z27" s="48">
        <f>X27*Y27</f>
        <v>0</v>
      </c>
      <c r="AA27" s="23"/>
      <c r="AB27" s="24">
        <v>15</v>
      </c>
      <c r="AC27" s="48">
        <f>AA27*AB27</f>
        <v>0</v>
      </c>
      <c r="AD27" s="23"/>
      <c r="AE27" s="24">
        <v>30</v>
      </c>
      <c r="AF27" s="48">
        <f>AD27*AE27</f>
        <v>0</v>
      </c>
      <c r="AG27" s="48">
        <f>(Z27+AC27+AF27)*1%*30</f>
        <v>0</v>
      </c>
      <c r="AH27" s="48">
        <f>Z27+AC27+AF27+AG27</f>
        <v>0</v>
      </c>
      <c r="AI27" s="34">
        <f t="shared" si="9"/>
        <v>29633.3</v>
      </c>
      <c r="AJ27" s="34">
        <f t="shared" si="10"/>
        <v>355.6</v>
      </c>
      <c r="AK27" s="50">
        <f t="shared" si="19"/>
        <v>156.5</v>
      </c>
      <c r="AL27" s="50">
        <f t="shared" si="22"/>
        <v>52.9</v>
      </c>
      <c r="AM27" s="50">
        <f t="shared" si="11"/>
        <v>37.700000000000003</v>
      </c>
      <c r="AN27" s="50">
        <f t="shared" si="20"/>
        <v>247.1</v>
      </c>
      <c r="AP27" s="51"/>
    </row>
    <row r="28" spans="1:42" s="62" customFormat="1" ht="20.25" customHeight="1" x14ac:dyDescent="0.25">
      <c r="A28" s="476" t="s">
        <v>97</v>
      </c>
      <c r="B28" s="477"/>
      <c r="C28" s="59">
        <f t="shared" ref="C28:AH28" si="23">SUM(C9:C27)</f>
        <v>64.5</v>
      </c>
      <c r="D28" s="25">
        <f t="shared" si="23"/>
        <v>181.9</v>
      </c>
      <c r="E28" s="25">
        <f t="shared" si="23"/>
        <v>527.5</v>
      </c>
      <c r="F28" s="25">
        <f t="shared" si="23"/>
        <v>6321.7</v>
      </c>
      <c r="G28" s="25">
        <f t="shared" si="23"/>
        <v>0</v>
      </c>
      <c r="H28" s="25">
        <f>SUM(H9:H27)</f>
        <v>74.400000000000006</v>
      </c>
      <c r="I28" s="25">
        <f t="shared" si="23"/>
        <v>0</v>
      </c>
      <c r="J28" s="25">
        <f t="shared" si="23"/>
        <v>0</v>
      </c>
      <c r="K28" s="25">
        <f t="shared" si="23"/>
        <v>1143.7</v>
      </c>
      <c r="L28" s="25">
        <f t="shared" si="23"/>
        <v>2252.1999999999998</v>
      </c>
      <c r="M28" s="25">
        <f t="shared" si="23"/>
        <v>9792</v>
      </c>
      <c r="N28" s="25">
        <f t="shared" si="23"/>
        <v>9.1999999999999993</v>
      </c>
      <c r="O28" s="25">
        <f t="shared" si="23"/>
        <v>4877.3</v>
      </c>
      <c r="P28" s="25">
        <f t="shared" si="23"/>
        <v>14669.3</v>
      </c>
      <c r="Q28" s="25">
        <f t="shared" si="23"/>
        <v>11735.5</v>
      </c>
      <c r="R28" s="25">
        <f t="shared" si="23"/>
        <v>11735.5</v>
      </c>
      <c r="S28" s="25">
        <f t="shared" si="23"/>
        <v>1220.3</v>
      </c>
      <c r="T28" s="25">
        <f t="shared" si="23"/>
        <v>39360.6</v>
      </c>
      <c r="U28" s="25">
        <f t="shared" si="23"/>
        <v>1</v>
      </c>
      <c r="V28" s="25">
        <f t="shared" si="23"/>
        <v>39360.400000000001</v>
      </c>
      <c r="W28" s="25">
        <f>SUM(W9:W27)</f>
        <v>11654.6</v>
      </c>
      <c r="X28" s="25">
        <f t="shared" si="23"/>
        <v>29</v>
      </c>
      <c r="Y28" s="25">
        <f t="shared" si="23"/>
        <v>570</v>
      </c>
      <c r="Z28" s="25">
        <f t="shared" si="23"/>
        <v>870</v>
      </c>
      <c r="AA28" s="25">
        <f t="shared" si="23"/>
        <v>12</v>
      </c>
      <c r="AB28" s="25">
        <f t="shared" si="23"/>
        <v>285</v>
      </c>
      <c r="AC28" s="25">
        <f t="shared" si="23"/>
        <v>180</v>
      </c>
      <c r="AD28" s="25">
        <f t="shared" si="23"/>
        <v>8</v>
      </c>
      <c r="AE28" s="25">
        <f t="shared" si="23"/>
        <v>570</v>
      </c>
      <c r="AF28" s="25">
        <f t="shared" si="23"/>
        <v>240</v>
      </c>
      <c r="AG28" s="25">
        <f t="shared" si="23"/>
        <v>387</v>
      </c>
      <c r="AH28" s="25">
        <f t="shared" si="23"/>
        <v>1677</v>
      </c>
      <c r="AI28" s="60"/>
      <c r="AJ28" s="61"/>
      <c r="AN28" s="60">
        <f>SUM(AN9:AN27)</f>
        <v>12276.5</v>
      </c>
    </row>
    <row r="29" spans="1:42" s="62" customFormat="1" ht="20.25" customHeight="1" x14ac:dyDescent="0.25">
      <c r="A29" s="63"/>
      <c r="B29" s="63"/>
      <c r="C29" s="26"/>
      <c r="D29" s="26"/>
      <c r="E29" s="26"/>
      <c r="F29" s="26"/>
      <c r="G29" s="26"/>
      <c r="H29" s="26"/>
      <c r="I29" s="26"/>
      <c r="J29" s="26"/>
      <c r="K29" s="26"/>
      <c r="L29" s="26"/>
      <c r="M29" s="26"/>
      <c r="N29" s="26"/>
      <c r="O29" s="26"/>
      <c r="P29" s="26"/>
      <c r="Q29" s="26"/>
      <c r="R29" s="26"/>
      <c r="S29" s="26"/>
      <c r="T29" s="26"/>
      <c r="U29" s="64"/>
      <c r="V29" s="65"/>
      <c r="W29" s="66"/>
      <c r="X29" s="65"/>
      <c r="Y29" s="65"/>
      <c r="Z29" s="65"/>
      <c r="AA29" s="65"/>
      <c r="AB29" s="65"/>
      <c r="AC29" s="65"/>
      <c r="AD29" s="65"/>
      <c r="AE29" s="65"/>
      <c r="AF29" s="65"/>
      <c r="AG29" s="65"/>
      <c r="AH29" s="65"/>
      <c r="AI29" s="67"/>
      <c r="AJ29" s="61"/>
    </row>
    <row r="30" spans="1:42" s="62" customFormat="1" ht="13.8" x14ac:dyDescent="0.25">
      <c r="A30" s="68"/>
      <c r="B30" s="63"/>
      <c r="C30" s="26"/>
      <c r="D30" s="26"/>
      <c r="E30" s="26"/>
      <c r="F30" s="26"/>
      <c r="G30" s="26"/>
      <c r="H30" s="26"/>
      <c r="I30" s="26"/>
      <c r="J30" s="26"/>
      <c r="K30" s="26"/>
      <c r="L30" s="26"/>
      <c r="M30" s="26"/>
      <c r="N30" s="26"/>
      <c r="O30" s="26"/>
      <c r="P30" s="26"/>
      <c r="Q30" s="26"/>
      <c r="R30" s="26"/>
      <c r="S30" s="26"/>
      <c r="T30" s="26"/>
      <c r="U30" s="64"/>
      <c r="V30" s="69"/>
      <c r="W30" s="69"/>
      <c r="X30" s="65"/>
      <c r="Y30" s="65"/>
      <c r="Z30" s="65"/>
      <c r="AA30" s="65"/>
      <c r="AB30" s="65"/>
      <c r="AC30" s="65"/>
      <c r="AD30" s="65"/>
      <c r="AE30" s="65"/>
      <c r="AF30" s="65"/>
      <c r="AG30" s="65"/>
      <c r="AH30" s="65"/>
      <c r="AI30" s="67"/>
      <c r="AJ30" s="61"/>
    </row>
    <row r="31" spans="1:42" s="75" customFormat="1" ht="13.8" x14ac:dyDescent="0.25">
      <c r="A31" s="70"/>
      <c r="B31" s="70"/>
      <c r="C31" s="71"/>
      <c r="D31" s="72"/>
      <c r="E31" s="72"/>
      <c r="F31" s="72"/>
      <c r="G31" s="72"/>
      <c r="H31" s="73"/>
      <c r="I31" s="73"/>
      <c r="J31" s="27"/>
      <c r="K31" s="27"/>
      <c r="L31" s="27"/>
      <c r="M31" s="27"/>
      <c r="N31" s="74"/>
      <c r="O31" s="27"/>
      <c r="P31" s="27"/>
      <c r="Q31" s="27"/>
      <c r="R31" s="27"/>
      <c r="S31" s="27"/>
      <c r="T31" s="27"/>
      <c r="U31" s="27"/>
      <c r="V31" s="27"/>
      <c r="W31" s="27"/>
      <c r="X31" s="27"/>
      <c r="Y31" s="27"/>
      <c r="Z31" s="27"/>
      <c r="AA31" s="27"/>
      <c r="AB31" s="27"/>
      <c r="AC31" s="27"/>
      <c r="AD31" s="27"/>
      <c r="AE31" s="27"/>
      <c r="AF31" s="27"/>
      <c r="AG31" s="27"/>
      <c r="AH31" s="27"/>
      <c r="AI31" s="27"/>
      <c r="AK31" s="76"/>
      <c r="AL31" s="76"/>
      <c r="AM31" s="76"/>
      <c r="AN31" s="76"/>
      <c r="AO31" s="76"/>
    </row>
    <row r="32" spans="1:42" s="75" customFormat="1" ht="39.75" customHeight="1" x14ac:dyDescent="0.25">
      <c r="A32" s="70"/>
      <c r="B32" s="70"/>
      <c r="C32" s="71"/>
      <c r="D32" s="77"/>
      <c r="E32" s="77"/>
      <c r="F32" s="27"/>
      <c r="G32" s="481" t="s">
        <v>140</v>
      </c>
      <c r="H32" s="481"/>
      <c r="I32" s="484" t="s">
        <v>141</v>
      </c>
      <c r="J32" s="485"/>
      <c r="K32" s="484" t="s">
        <v>128</v>
      </c>
      <c r="L32" s="485"/>
      <c r="M32" s="70"/>
      <c r="N32" s="70"/>
      <c r="O32" s="70"/>
      <c r="P32" s="70"/>
      <c r="Q32" s="27"/>
      <c r="R32" s="27"/>
      <c r="S32" s="27"/>
      <c r="T32" s="27"/>
      <c r="U32" s="27"/>
      <c r="V32" s="27"/>
      <c r="W32" s="27"/>
      <c r="X32" s="27"/>
      <c r="Y32" s="27"/>
      <c r="Z32" s="27"/>
      <c r="AA32" s="27"/>
      <c r="AB32" s="27"/>
      <c r="AC32" s="27"/>
      <c r="AD32" s="27"/>
      <c r="AE32" s="27"/>
      <c r="AF32" s="27"/>
      <c r="AG32" s="27"/>
      <c r="AH32" s="27"/>
      <c r="AI32" s="27"/>
      <c r="AK32" s="76"/>
      <c r="AL32" s="76"/>
      <c r="AM32" s="76"/>
      <c r="AN32" s="76"/>
      <c r="AO32" s="76"/>
    </row>
    <row r="33" spans="1:41" s="75" customFormat="1" ht="13.8" x14ac:dyDescent="0.25">
      <c r="A33" s="70"/>
      <c r="B33" s="70"/>
      <c r="C33" s="71"/>
      <c r="D33" s="77"/>
      <c r="E33" s="77"/>
      <c r="F33" s="27"/>
      <c r="G33" s="28">
        <v>991</v>
      </c>
      <c r="H33" s="28">
        <v>992</v>
      </c>
      <c r="I33" s="28">
        <v>991</v>
      </c>
      <c r="J33" s="28">
        <v>992</v>
      </c>
      <c r="K33" s="28">
        <v>991</v>
      </c>
      <c r="L33" s="28">
        <v>992</v>
      </c>
      <c r="M33" s="79"/>
      <c r="N33" s="79"/>
      <c r="O33" s="79"/>
      <c r="P33" s="79"/>
      <c r="Q33" s="27"/>
      <c r="R33" s="27"/>
      <c r="S33" s="27"/>
      <c r="T33" s="27"/>
      <c r="U33" s="27"/>
      <c r="V33" s="27"/>
      <c r="W33" s="27"/>
      <c r="X33" s="27"/>
      <c r="Y33" s="27"/>
      <c r="Z33" s="27"/>
      <c r="AA33" s="27"/>
      <c r="AB33" s="27"/>
      <c r="AC33" s="27"/>
      <c r="AD33" s="27"/>
      <c r="AE33" s="27"/>
      <c r="AF33" s="27"/>
      <c r="AG33" s="27"/>
      <c r="AH33" s="27"/>
      <c r="AI33" s="27"/>
      <c r="AK33" s="76"/>
      <c r="AL33" s="76"/>
      <c r="AM33" s="76"/>
      <c r="AN33" s="76"/>
      <c r="AO33" s="76"/>
    </row>
    <row r="34" spans="1:41" s="75" customFormat="1" ht="13.8" x14ac:dyDescent="0.25">
      <c r="A34" s="70"/>
      <c r="B34" s="70"/>
      <c r="C34" s="71"/>
      <c r="D34" s="77"/>
      <c r="E34" s="77"/>
      <c r="F34" s="27"/>
      <c r="G34" s="29">
        <v>39360.400000000001</v>
      </c>
      <c r="H34" s="29">
        <v>11661.7</v>
      </c>
      <c r="I34" s="29">
        <f>V28</f>
        <v>39360.400000000001</v>
      </c>
      <c r="J34" s="29">
        <f>W28</f>
        <v>11654.6</v>
      </c>
      <c r="K34" s="29">
        <f>G34-I34</f>
        <v>0</v>
      </c>
      <c r="L34" s="29">
        <f>H34-J34</f>
        <v>7.1</v>
      </c>
      <c r="M34" s="80"/>
      <c r="N34" s="80"/>
      <c r="O34" s="80"/>
      <c r="P34" s="80"/>
      <c r="Q34" s="27"/>
      <c r="R34" s="27"/>
      <c r="S34" s="27"/>
      <c r="T34" s="27"/>
      <c r="U34" s="27"/>
      <c r="V34" s="27"/>
      <c r="W34" s="27"/>
      <c r="X34" s="27"/>
      <c r="Y34" s="27"/>
      <c r="Z34" s="27"/>
      <c r="AA34" s="27"/>
      <c r="AB34" s="27"/>
      <c r="AC34" s="27"/>
      <c r="AD34" s="27"/>
      <c r="AE34" s="27"/>
      <c r="AF34" s="27"/>
      <c r="AG34" s="27"/>
      <c r="AH34" s="27"/>
      <c r="AI34" s="27"/>
      <c r="AK34" s="76"/>
      <c r="AL34" s="76"/>
      <c r="AM34" s="76"/>
      <c r="AN34" s="76"/>
      <c r="AO34" s="76"/>
    </row>
    <row r="35" spans="1:41" s="75" customFormat="1" ht="13.8" x14ac:dyDescent="0.25">
      <c r="A35" s="70"/>
      <c r="B35" s="70"/>
      <c r="C35" s="71"/>
      <c r="D35" s="77"/>
      <c r="E35" s="77"/>
      <c r="F35" s="27"/>
      <c r="G35" s="27"/>
      <c r="H35" s="73"/>
      <c r="I35" s="73"/>
      <c r="J35" s="27"/>
      <c r="K35" s="27"/>
      <c r="L35" s="27"/>
      <c r="M35" s="27"/>
      <c r="N35" s="74"/>
      <c r="O35" s="27"/>
      <c r="P35" s="27"/>
      <c r="Q35" s="27"/>
      <c r="R35" s="27"/>
      <c r="S35" s="27"/>
      <c r="T35" s="27"/>
      <c r="U35" s="27"/>
      <c r="V35" s="27"/>
      <c r="W35" s="27"/>
      <c r="X35" s="27"/>
      <c r="Y35" s="27"/>
      <c r="Z35" s="27"/>
      <c r="AA35" s="27"/>
      <c r="AB35" s="27"/>
      <c r="AC35" s="27"/>
      <c r="AD35" s="27"/>
      <c r="AE35" s="27"/>
      <c r="AF35" s="27"/>
      <c r="AG35" s="27"/>
      <c r="AH35" s="27"/>
      <c r="AI35" s="27"/>
      <c r="AK35" s="76"/>
      <c r="AL35" s="76"/>
      <c r="AM35" s="76"/>
      <c r="AN35" s="76"/>
      <c r="AO35" s="76"/>
    </row>
    <row r="36" spans="1:41" s="75" customFormat="1" ht="13.8" x14ac:dyDescent="0.25">
      <c r="A36" s="70"/>
      <c r="B36" s="70"/>
      <c r="C36" s="71"/>
      <c r="D36" s="77"/>
      <c r="E36" s="77"/>
      <c r="F36" s="27"/>
      <c r="G36" s="27"/>
      <c r="H36" s="73"/>
      <c r="I36" s="73"/>
      <c r="J36" s="27"/>
      <c r="K36" s="27"/>
      <c r="L36" s="27"/>
      <c r="M36" s="27"/>
      <c r="N36" s="74"/>
      <c r="O36" s="27"/>
      <c r="P36" s="27"/>
      <c r="Q36" s="27"/>
      <c r="R36" s="27"/>
      <c r="S36" s="27"/>
      <c r="T36" s="27"/>
      <c r="U36" s="27"/>
      <c r="V36" s="27"/>
      <c r="W36" s="27"/>
      <c r="X36" s="27"/>
      <c r="Y36" s="27"/>
      <c r="Z36" s="27"/>
      <c r="AA36" s="27"/>
      <c r="AB36" s="27"/>
      <c r="AC36" s="27"/>
      <c r="AD36" s="27"/>
      <c r="AE36" s="27"/>
      <c r="AF36" s="27"/>
      <c r="AG36" s="27"/>
      <c r="AH36" s="27"/>
      <c r="AI36" s="27"/>
      <c r="AK36" s="76"/>
      <c r="AL36" s="76"/>
      <c r="AM36" s="76"/>
      <c r="AN36" s="76"/>
      <c r="AO36" s="76"/>
    </row>
    <row r="37" spans="1:41" s="35" customFormat="1" ht="21" x14ac:dyDescent="0.25">
      <c r="A37" s="81"/>
      <c r="B37" s="82" t="s">
        <v>138</v>
      </c>
      <c r="C37" s="83"/>
      <c r="D37" s="84"/>
      <c r="E37" s="84"/>
      <c r="F37" s="85"/>
      <c r="G37" s="85"/>
      <c r="H37" s="86"/>
      <c r="I37" s="86"/>
      <c r="J37" s="85"/>
      <c r="K37" s="30" t="s">
        <v>166</v>
      </c>
      <c r="L37" s="85"/>
      <c r="M37" s="85"/>
      <c r="N37" s="87"/>
      <c r="O37" s="85"/>
      <c r="P37" s="85"/>
      <c r="Q37" s="85"/>
      <c r="R37" s="85"/>
      <c r="S37" s="85"/>
      <c r="T37" s="85"/>
      <c r="U37" s="85"/>
      <c r="V37" s="85"/>
      <c r="W37" s="85"/>
      <c r="X37" s="85"/>
      <c r="Y37" s="85"/>
      <c r="Z37" s="85"/>
      <c r="AA37" s="85"/>
      <c r="AB37" s="85"/>
      <c r="AC37" s="85"/>
      <c r="AD37" s="85"/>
      <c r="AE37" s="85"/>
      <c r="AF37" s="85"/>
      <c r="AG37" s="85"/>
      <c r="AH37" s="85"/>
      <c r="AI37" s="85"/>
      <c r="AK37" s="88"/>
      <c r="AL37" s="88"/>
      <c r="AM37" s="88"/>
      <c r="AN37" s="88"/>
      <c r="AO37" s="88"/>
    </row>
    <row r="38" spans="1:41" s="75" customFormat="1" ht="13.8" x14ac:dyDescent="0.25">
      <c r="A38" s="70"/>
      <c r="B38" s="70"/>
      <c r="C38" s="71"/>
      <c r="D38" s="77"/>
      <c r="E38" s="77"/>
      <c r="F38" s="27"/>
      <c r="G38" s="27"/>
      <c r="H38" s="73"/>
      <c r="I38" s="73"/>
      <c r="J38" s="27"/>
      <c r="K38" s="27"/>
      <c r="L38" s="27"/>
      <c r="M38" s="27"/>
      <c r="N38" s="74"/>
      <c r="O38" s="27"/>
      <c r="P38" s="27"/>
      <c r="Q38" s="27"/>
      <c r="R38" s="27"/>
      <c r="S38" s="27"/>
      <c r="T38" s="27"/>
      <c r="U38" s="27"/>
      <c r="V38" s="27"/>
      <c r="W38" s="27"/>
      <c r="X38" s="27"/>
      <c r="Y38" s="27"/>
      <c r="Z38" s="27"/>
      <c r="AA38" s="27"/>
      <c r="AB38" s="27"/>
      <c r="AC38" s="27"/>
      <c r="AD38" s="27"/>
      <c r="AE38" s="27"/>
      <c r="AF38" s="27"/>
      <c r="AG38" s="27"/>
      <c r="AH38" s="27"/>
      <c r="AI38" s="27"/>
      <c r="AK38" s="76"/>
      <c r="AL38" s="76"/>
      <c r="AM38" s="76"/>
      <c r="AN38" s="76"/>
      <c r="AO38" s="76"/>
    </row>
    <row r="39" spans="1:41" s="75" customFormat="1" ht="20.25" customHeight="1" x14ac:dyDescent="0.25">
      <c r="A39" s="89" t="s">
        <v>96</v>
      </c>
      <c r="B39" s="89"/>
      <c r="C39" s="31"/>
      <c r="D39" s="31"/>
      <c r="E39" s="31"/>
      <c r="F39" s="31"/>
      <c r="G39" s="31"/>
      <c r="H39" s="31"/>
      <c r="I39" s="31"/>
      <c r="J39" s="31"/>
      <c r="K39" s="31"/>
      <c r="L39" s="90"/>
      <c r="M39" s="90"/>
      <c r="N39" s="91"/>
      <c r="O39" s="90"/>
      <c r="P39" s="90"/>
      <c r="Q39" s="90"/>
      <c r="R39" s="90"/>
      <c r="S39" s="90"/>
      <c r="T39" s="90"/>
      <c r="U39" s="90"/>
      <c r="V39" s="90"/>
      <c r="W39" s="90"/>
      <c r="X39" s="90"/>
      <c r="Y39" s="90"/>
      <c r="Z39" s="90"/>
      <c r="AA39" s="90"/>
      <c r="AB39" s="90"/>
      <c r="AC39" s="90"/>
      <c r="AD39" s="90"/>
      <c r="AE39" s="90"/>
      <c r="AF39" s="90"/>
      <c r="AG39" s="90"/>
      <c r="AH39" s="90"/>
      <c r="AI39" s="90"/>
      <c r="AK39" s="76"/>
      <c r="AL39" s="76"/>
      <c r="AM39" s="76"/>
      <c r="AN39" s="76"/>
      <c r="AO39" s="76"/>
    </row>
    <row r="40" spans="1:41" s="75" customFormat="1" ht="20.25" customHeight="1" x14ac:dyDescent="0.25">
      <c r="A40" s="89" t="s">
        <v>139</v>
      </c>
      <c r="B40" s="92"/>
      <c r="C40" s="93"/>
      <c r="D40" s="93"/>
      <c r="E40" s="32"/>
      <c r="F40" s="32"/>
      <c r="G40" s="32"/>
      <c r="H40" s="32"/>
      <c r="I40" s="32"/>
      <c r="J40" s="32"/>
      <c r="K40" s="32"/>
      <c r="L40" s="90"/>
      <c r="M40" s="90"/>
      <c r="N40" s="90"/>
      <c r="O40" s="90"/>
      <c r="P40" s="90"/>
      <c r="Q40" s="90"/>
      <c r="R40" s="90"/>
      <c r="S40" s="90"/>
      <c r="T40" s="90"/>
      <c r="U40" s="90"/>
      <c r="V40" s="90"/>
      <c r="W40" s="90"/>
      <c r="X40" s="90"/>
      <c r="Y40" s="90"/>
      <c r="Z40" s="90"/>
      <c r="AA40" s="90"/>
      <c r="AB40" s="90"/>
      <c r="AC40" s="90"/>
      <c r="AD40" s="90"/>
      <c r="AE40" s="90"/>
      <c r="AF40" s="90"/>
      <c r="AG40" s="90"/>
      <c r="AH40" s="90"/>
      <c r="AI40" s="90"/>
      <c r="AK40" s="76"/>
      <c r="AL40" s="76"/>
      <c r="AM40" s="76"/>
      <c r="AN40" s="76"/>
      <c r="AO40" s="76"/>
    </row>
    <row r="41" spans="1:41" ht="15.6" x14ac:dyDescent="0.25">
      <c r="A41" s="480"/>
      <c r="B41" s="480"/>
      <c r="C41" s="480"/>
    </row>
    <row r="43" spans="1:41" x14ac:dyDescent="0.25">
      <c r="E43" s="51"/>
    </row>
    <row r="44" spans="1:41" x14ac:dyDescent="0.25">
      <c r="E44" s="51"/>
    </row>
    <row r="45" spans="1:41" x14ac:dyDescent="0.25">
      <c r="E45" s="51"/>
    </row>
    <row r="46" spans="1:41" x14ac:dyDescent="0.25">
      <c r="E46" s="51"/>
    </row>
    <row r="47" spans="1:41" x14ac:dyDescent="0.25">
      <c r="E47" s="51"/>
    </row>
    <row r="48" spans="1:41" x14ac:dyDescent="0.25">
      <c r="E48" s="51"/>
    </row>
    <row r="49" spans="5:5" x14ac:dyDescent="0.25">
      <c r="E49" s="51"/>
    </row>
    <row r="50" spans="5:5" x14ac:dyDescent="0.25">
      <c r="E50" s="51"/>
    </row>
    <row r="51" spans="5:5" x14ac:dyDescent="0.25">
      <c r="E51" s="51"/>
    </row>
    <row r="52" spans="5:5" x14ac:dyDescent="0.25">
      <c r="E52" s="51"/>
    </row>
    <row r="53" spans="5:5" x14ac:dyDescent="0.25">
      <c r="E53" s="51"/>
    </row>
    <row r="54" spans="5:5" x14ac:dyDescent="0.25">
      <c r="E54" s="51"/>
    </row>
    <row r="55" spans="5:5" x14ac:dyDescent="0.25">
      <c r="E55" s="51"/>
    </row>
    <row r="56" spans="5:5" x14ac:dyDescent="0.25">
      <c r="E56" s="51"/>
    </row>
    <row r="57" spans="5:5" x14ac:dyDescent="0.25">
      <c r="E57" s="51"/>
    </row>
    <row r="58" spans="5:5" x14ac:dyDescent="0.25">
      <c r="E58" s="51"/>
    </row>
    <row r="59" spans="5:5" x14ac:dyDescent="0.25">
      <c r="E59" s="51"/>
    </row>
    <row r="60" spans="5:5" x14ac:dyDescent="0.25">
      <c r="E60" s="51"/>
    </row>
    <row r="61" spans="5:5" x14ac:dyDescent="0.25">
      <c r="E61" s="51"/>
    </row>
    <row r="62" spans="5:5" x14ac:dyDescent="0.25">
      <c r="E62" s="51"/>
    </row>
    <row r="63" spans="5:5" x14ac:dyDescent="0.25">
      <c r="E63" s="51"/>
    </row>
    <row r="64" spans="5:5" x14ac:dyDescent="0.25">
      <c r="E64" s="51"/>
    </row>
    <row r="65" spans="5:5" x14ac:dyDescent="0.25">
      <c r="E65" s="51"/>
    </row>
    <row r="66" spans="5:5" x14ac:dyDescent="0.25">
      <c r="E66" s="51"/>
    </row>
    <row r="67" spans="5:5" x14ac:dyDescent="0.25">
      <c r="E67" s="51"/>
    </row>
    <row r="68" spans="5:5" x14ac:dyDescent="0.25">
      <c r="E68" s="51"/>
    </row>
    <row r="69" spans="5:5" x14ac:dyDescent="0.25">
      <c r="E69" s="51"/>
    </row>
    <row r="70" spans="5:5" x14ac:dyDescent="0.25">
      <c r="E70" s="51"/>
    </row>
    <row r="71" spans="5:5" x14ac:dyDescent="0.25">
      <c r="E71" s="51"/>
    </row>
    <row r="72" spans="5:5" x14ac:dyDescent="0.25">
      <c r="E72" s="51"/>
    </row>
    <row r="73" spans="5:5" x14ac:dyDescent="0.25">
      <c r="E73" s="51"/>
    </row>
    <row r="74" spans="5:5" x14ac:dyDescent="0.25">
      <c r="E74" s="51"/>
    </row>
  </sheetData>
  <autoFilter ref="A8:AP30"/>
  <mergeCells count="38">
    <mergeCell ref="W6:W7"/>
    <mergeCell ref="U9:U27"/>
    <mergeCell ref="S6:S7"/>
    <mergeCell ref="U6:U7"/>
    <mergeCell ref="AE1:AH1"/>
    <mergeCell ref="A2:AH2"/>
    <mergeCell ref="A3:AH3"/>
    <mergeCell ref="A5:A7"/>
    <mergeCell ref="B5:B7"/>
    <mergeCell ref="C5:C7"/>
    <mergeCell ref="D5:W5"/>
    <mergeCell ref="D6:D7"/>
    <mergeCell ref="E6:E7"/>
    <mergeCell ref="AD6:AF6"/>
    <mergeCell ref="AG6:AG7"/>
    <mergeCell ref="AH6:AH7"/>
    <mergeCell ref="V6:V7"/>
    <mergeCell ref="P6:P7"/>
    <mergeCell ref="Q6:Q7"/>
    <mergeCell ref="I32:J32"/>
    <mergeCell ref="K32:L32"/>
    <mergeCell ref="K6:K7"/>
    <mergeCell ref="A28:B28"/>
    <mergeCell ref="T6:T7"/>
    <mergeCell ref="X5:AH5"/>
    <mergeCell ref="A41:C41"/>
    <mergeCell ref="G32:H32"/>
    <mergeCell ref="AA6:AC6"/>
    <mergeCell ref="R6:R7"/>
    <mergeCell ref="F6:F7"/>
    <mergeCell ref="G6:G7"/>
    <mergeCell ref="H6:H7"/>
    <mergeCell ref="I6:I7"/>
    <mergeCell ref="J6:J7"/>
    <mergeCell ref="L6:L7"/>
    <mergeCell ref="M6:M7"/>
    <mergeCell ref="N6:O6"/>
    <mergeCell ref="X6:Z6"/>
  </mergeCells>
  <printOptions horizontalCentered="1"/>
  <pageMargins left="0.25" right="0.25" top="0.75" bottom="0.75" header="0.3" footer="0.3"/>
  <pageSetup paperSize="9" scale="33"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AS43"/>
  <sheetViews>
    <sheetView view="pageBreakPreview" zoomScale="80" zoomScaleSheetLayoutView="80" workbookViewId="0">
      <pane xSplit="3" ySplit="8" topLeftCell="L9" activePane="bottomRight" state="frozen"/>
      <selection activeCell="M26" sqref="M26:N26"/>
      <selection pane="topRight" activeCell="M26" sqref="M26:N26"/>
      <selection pane="bottomLeft" activeCell="M26" sqref="M26:N26"/>
      <selection pane="bottomRight" activeCell="M26" sqref="M26:N26"/>
    </sheetView>
  </sheetViews>
  <sheetFormatPr defaultColWidth="9.33203125" defaultRowHeight="13.2" x14ac:dyDescent="0.25"/>
  <cols>
    <col min="1" max="1" width="12.77734375" style="98" customWidth="1"/>
    <col min="2" max="2" width="30.77734375" style="99" customWidth="1"/>
    <col min="3" max="3" width="13.77734375" style="99" customWidth="1"/>
    <col min="4" max="4" width="11.44140625" style="99" customWidth="1"/>
    <col min="5" max="5" width="13" style="99" customWidth="1"/>
    <col min="6" max="6" width="14.6640625" style="99" customWidth="1"/>
    <col min="7" max="8" width="13.109375" style="99" customWidth="1"/>
    <col min="9" max="9" width="11.6640625" style="99" customWidth="1"/>
    <col min="10" max="10" width="16.77734375" style="99" customWidth="1"/>
    <col min="11" max="11" width="12" style="99" customWidth="1"/>
    <col min="12" max="17" width="11.44140625" style="100" customWidth="1"/>
    <col min="18" max="18" width="14.109375" style="99" customWidth="1"/>
    <col min="19" max="19" width="15.44140625" style="99" customWidth="1"/>
    <col min="20" max="20" width="12.33203125" style="99" customWidth="1"/>
    <col min="21" max="21" width="11.6640625" style="99" customWidth="1"/>
    <col min="22" max="23" width="12" style="99" customWidth="1"/>
    <col min="24" max="24" width="12.6640625" style="99" customWidth="1"/>
    <col min="25" max="25" width="12" style="99" customWidth="1"/>
    <col min="26" max="26" width="9.6640625" style="99" customWidth="1"/>
    <col min="27" max="31" width="8.44140625" style="99" customWidth="1"/>
    <col min="32" max="32" width="9.6640625" style="99" customWidth="1"/>
    <col min="33" max="33" width="9.33203125" style="99" customWidth="1"/>
    <col min="34" max="34" width="12" style="99" customWidth="1"/>
    <col min="35" max="36" width="11.109375" style="99" customWidth="1"/>
    <col min="37" max="37" width="12.6640625" style="99" customWidth="1"/>
    <col min="38" max="38" width="11.77734375" style="99" hidden="1" customWidth="1"/>
    <col min="39" max="39" width="13" style="99" hidden="1" customWidth="1"/>
    <col min="40" max="42" width="9.33203125" style="22"/>
    <col min="43" max="43" width="11.33203125" style="22" bestFit="1" customWidth="1"/>
    <col min="44" max="16384" width="9.33203125" style="99"/>
  </cols>
  <sheetData>
    <row r="1" spans="1:45" ht="21" customHeight="1" x14ac:dyDescent="0.25">
      <c r="AE1" s="499"/>
      <c r="AF1" s="499"/>
      <c r="AG1" s="499"/>
      <c r="AH1" s="499"/>
    </row>
    <row r="2" spans="1:45" ht="24" customHeight="1" x14ac:dyDescent="0.25">
      <c r="A2" s="500" t="s">
        <v>142</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500"/>
      <c r="AE2" s="500"/>
      <c r="AF2" s="500"/>
      <c r="AG2" s="500"/>
      <c r="AH2" s="500"/>
    </row>
    <row r="3" spans="1:45" ht="24.75" customHeight="1" x14ac:dyDescent="0.25">
      <c r="A3" s="501"/>
      <c r="B3" s="501"/>
      <c r="C3" s="501"/>
      <c r="D3" s="501"/>
      <c r="E3" s="501"/>
      <c r="F3" s="501"/>
      <c r="G3" s="501"/>
      <c r="H3" s="501"/>
      <c r="I3" s="501"/>
      <c r="J3" s="501"/>
      <c r="K3" s="501"/>
      <c r="L3" s="501"/>
      <c r="M3" s="501"/>
      <c r="N3" s="501"/>
      <c r="O3" s="501"/>
      <c r="P3" s="501"/>
      <c r="Q3" s="501"/>
      <c r="R3" s="501"/>
      <c r="S3" s="501"/>
      <c r="T3" s="501"/>
      <c r="U3" s="501"/>
      <c r="V3" s="501"/>
      <c r="W3" s="501"/>
      <c r="X3" s="501"/>
      <c r="Y3" s="501"/>
      <c r="Z3" s="501"/>
      <c r="AA3" s="501"/>
      <c r="AB3" s="501"/>
      <c r="AC3" s="501"/>
      <c r="AD3" s="501"/>
      <c r="AE3" s="501"/>
      <c r="AF3" s="501"/>
      <c r="AG3" s="501"/>
      <c r="AH3" s="501"/>
    </row>
    <row r="4" spans="1:45" x14ac:dyDescent="0.25">
      <c r="L4" s="102">
        <v>3.8399999999999997E-2</v>
      </c>
    </row>
    <row r="5" spans="1:45" ht="38.25" customHeight="1" x14ac:dyDescent="0.25">
      <c r="A5" s="502" t="s">
        <v>78</v>
      </c>
      <c r="B5" s="502" t="s">
        <v>77</v>
      </c>
      <c r="C5" s="493" t="s">
        <v>0</v>
      </c>
      <c r="D5" s="493" t="s">
        <v>3</v>
      </c>
      <c r="E5" s="493"/>
      <c r="F5" s="493"/>
      <c r="G5" s="493"/>
      <c r="H5" s="493"/>
      <c r="I5" s="493"/>
      <c r="J5" s="493"/>
      <c r="K5" s="493"/>
      <c r="L5" s="493"/>
      <c r="M5" s="493"/>
      <c r="N5" s="493"/>
      <c r="O5" s="493"/>
      <c r="P5" s="493"/>
      <c r="Q5" s="493"/>
      <c r="R5" s="493"/>
      <c r="S5" s="493"/>
      <c r="T5" s="493"/>
      <c r="U5" s="493"/>
      <c r="V5" s="493"/>
      <c r="W5" s="493"/>
      <c r="X5" s="493" t="s">
        <v>4</v>
      </c>
      <c r="Y5" s="493"/>
      <c r="Z5" s="493"/>
      <c r="AA5" s="493"/>
      <c r="AB5" s="493"/>
      <c r="AC5" s="493"/>
      <c r="AD5" s="493"/>
      <c r="AE5" s="493"/>
      <c r="AF5" s="493"/>
      <c r="AG5" s="493"/>
      <c r="AH5" s="493"/>
    </row>
    <row r="6" spans="1:45" ht="60" customHeight="1" x14ac:dyDescent="0.25">
      <c r="A6" s="502"/>
      <c r="B6" s="502"/>
      <c r="C6" s="493"/>
      <c r="D6" s="492" t="s">
        <v>79</v>
      </c>
      <c r="E6" s="492" t="s">
        <v>69</v>
      </c>
      <c r="F6" s="492" t="s">
        <v>89</v>
      </c>
      <c r="G6" s="492" t="s">
        <v>1</v>
      </c>
      <c r="H6" s="492" t="s">
        <v>2</v>
      </c>
      <c r="I6" s="492" t="s">
        <v>70</v>
      </c>
      <c r="J6" s="492" t="s">
        <v>61</v>
      </c>
      <c r="K6" s="492" t="s">
        <v>27</v>
      </c>
      <c r="L6" s="495" t="s">
        <v>65</v>
      </c>
      <c r="M6" s="495" t="s">
        <v>86</v>
      </c>
      <c r="N6" s="496" t="s">
        <v>91</v>
      </c>
      <c r="O6" s="496"/>
      <c r="P6" s="496" t="s">
        <v>88</v>
      </c>
      <c r="Q6" s="495" t="s">
        <v>82</v>
      </c>
      <c r="R6" s="492" t="s">
        <v>83</v>
      </c>
      <c r="S6" s="495" t="s">
        <v>87</v>
      </c>
      <c r="T6" s="492" t="s">
        <v>84</v>
      </c>
      <c r="U6" s="492" t="s">
        <v>9</v>
      </c>
      <c r="V6" s="492" t="s">
        <v>7</v>
      </c>
      <c r="W6" s="492" t="s">
        <v>85</v>
      </c>
      <c r="X6" s="493" t="s">
        <v>10</v>
      </c>
      <c r="Y6" s="493"/>
      <c r="Z6" s="493"/>
      <c r="AA6" s="493" t="s">
        <v>11</v>
      </c>
      <c r="AB6" s="493"/>
      <c r="AC6" s="493"/>
      <c r="AD6" s="493" t="s">
        <v>12</v>
      </c>
      <c r="AE6" s="493"/>
      <c r="AF6" s="493"/>
      <c r="AG6" s="493" t="s">
        <v>13</v>
      </c>
      <c r="AH6" s="493" t="s">
        <v>73</v>
      </c>
    </row>
    <row r="7" spans="1:45" ht="97.5" customHeight="1" x14ac:dyDescent="0.25">
      <c r="A7" s="502"/>
      <c r="B7" s="502"/>
      <c r="C7" s="493"/>
      <c r="D7" s="492"/>
      <c r="E7" s="492"/>
      <c r="F7" s="492"/>
      <c r="G7" s="492"/>
      <c r="H7" s="492"/>
      <c r="I7" s="492"/>
      <c r="J7" s="492"/>
      <c r="K7" s="492"/>
      <c r="L7" s="495" t="s">
        <v>66</v>
      </c>
      <c r="M7" s="495"/>
      <c r="N7" s="104" t="s">
        <v>80</v>
      </c>
      <c r="O7" s="104" t="s">
        <v>81</v>
      </c>
      <c r="P7" s="496"/>
      <c r="Q7" s="495"/>
      <c r="R7" s="492"/>
      <c r="S7" s="495" t="s">
        <v>67</v>
      </c>
      <c r="T7" s="492"/>
      <c r="U7" s="492"/>
      <c r="V7" s="492"/>
      <c r="W7" s="492"/>
      <c r="X7" s="105" t="s">
        <v>5</v>
      </c>
      <c r="Y7" s="105" t="s">
        <v>6</v>
      </c>
      <c r="Z7" s="105" t="s">
        <v>74</v>
      </c>
      <c r="AA7" s="105" t="s">
        <v>5</v>
      </c>
      <c r="AB7" s="105" t="s">
        <v>6</v>
      </c>
      <c r="AC7" s="105" t="s">
        <v>75</v>
      </c>
      <c r="AD7" s="105" t="s">
        <v>5</v>
      </c>
      <c r="AE7" s="105" t="s">
        <v>6</v>
      </c>
      <c r="AF7" s="105" t="s">
        <v>76</v>
      </c>
      <c r="AG7" s="493"/>
      <c r="AH7" s="493"/>
      <c r="AK7" s="98" t="s">
        <v>64</v>
      </c>
      <c r="AL7" s="98" t="s">
        <v>62</v>
      </c>
      <c r="AM7" s="98" t="s">
        <v>63</v>
      </c>
    </row>
    <row r="8" spans="1:45" x14ac:dyDescent="0.25">
      <c r="A8" s="94">
        <v>1</v>
      </c>
      <c r="B8" s="94">
        <v>2</v>
      </c>
      <c r="C8" s="94">
        <v>3</v>
      </c>
      <c r="D8" s="94">
        <v>4</v>
      </c>
      <c r="E8" s="94">
        <v>5</v>
      </c>
      <c r="F8" s="94">
        <v>6</v>
      </c>
      <c r="G8" s="94">
        <v>7</v>
      </c>
      <c r="H8" s="94">
        <v>8</v>
      </c>
      <c r="I8" s="94">
        <v>9</v>
      </c>
      <c r="J8" s="94">
        <v>10</v>
      </c>
      <c r="K8" s="94">
        <v>11</v>
      </c>
      <c r="L8" s="94">
        <v>12</v>
      </c>
      <c r="M8" s="94">
        <v>13</v>
      </c>
      <c r="N8" s="94">
        <v>14</v>
      </c>
      <c r="O8" s="94">
        <v>15</v>
      </c>
      <c r="P8" s="94">
        <v>16</v>
      </c>
      <c r="Q8" s="94">
        <v>17</v>
      </c>
      <c r="R8" s="94">
        <v>18</v>
      </c>
      <c r="S8" s="94">
        <v>19</v>
      </c>
      <c r="T8" s="94">
        <v>20</v>
      </c>
      <c r="U8" s="94">
        <v>21</v>
      </c>
      <c r="V8" s="94">
        <v>22</v>
      </c>
      <c r="W8" s="94">
        <v>23</v>
      </c>
      <c r="X8" s="94">
        <v>24</v>
      </c>
      <c r="Y8" s="94">
        <v>25</v>
      </c>
      <c r="Z8" s="94">
        <v>26</v>
      </c>
      <c r="AA8" s="94">
        <v>27</v>
      </c>
      <c r="AB8" s="94">
        <v>28</v>
      </c>
      <c r="AC8" s="94">
        <v>29</v>
      </c>
      <c r="AD8" s="94">
        <v>30</v>
      </c>
      <c r="AE8" s="94">
        <v>31</v>
      </c>
      <c r="AF8" s="94">
        <v>32</v>
      </c>
      <c r="AG8" s="94">
        <v>33</v>
      </c>
      <c r="AH8" s="94">
        <v>34</v>
      </c>
      <c r="AN8" s="43" t="s">
        <v>116</v>
      </c>
      <c r="AO8" s="43" t="s">
        <v>117</v>
      </c>
      <c r="AP8" s="43" t="s">
        <v>118</v>
      </c>
      <c r="AQ8" s="43" t="s">
        <v>119</v>
      </c>
    </row>
    <row r="9" spans="1:45" ht="16.5" customHeight="1" x14ac:dyDescent="0.25">
      <c r="A9" s="94">
        <v>1</v>
      </c>
      <c r="B9" s="106" t="s">
        <v>21</v>
      </c>
      <c r="C9" s="94">
        <v>1</v>
      </c>
      <c r="D9" s="107">
        <v>22.465</v>
      </c>
      <c r="E9" s="108">
        <f t="shared" ref="E9:E20" si="0">C9*D9</f>
        <v>22.47</v>
      </c>
      <c r="F9" s="109">
        <f t="shared" ref="F9:F19" si="1">E9*12</f>
        <v>269.60000000000002</v>
      </c>
      <c r="G9" s="110"/>
      <c r="H9" s="110"/>
      <c r="I9" s="110"/>
      <c r="J9" s="110"/>
      <c r="K9" s="95">
        <f>D9*0.2*5+D9*0.25*7</f>
        <v>61.8</v>
      </c>
      <c r="L9" s="95">
        <f>$L$4*F9</f>
        <v>10.4</v>
      </c>
      <c r="M9" s="95">
        <f t="shared" ref="M9:M19" si="2">F9+G9+H9+I9+J9+K9+L9</f>
        <v>341.8</v>
      </c>
      <c r="N9" s="111">
        <v>0.47</v>
      </c>
      <c r="O9" s="95">
        <f t="shared" ref="O9:O19" si="3">M9*N9</f>
        <v>160.6</v>
      </c>
      <c r="P9" s="95">
        <f t="shared" ref="P9:P19" si="4">M9+O9</f>
        <v>502.4</v>
      </c>
      <c r="Q9" s="95">
        <f t="shared" ref="Q9:Q19" si="5">P9*0.8</f>
        <v>401.9</v>
      </c>
      <c r="R9" s="95">
        <f t="shared" ref="R9:R19" si="6">P9*0.8</f>
        <v>401.9</v>
      </c>
      <c r="S9" s="95">
        <f t="shared" ref="S9:S19" si="7">(P9+Q9+R9)*0.032</f>
        <v>41.8</v>
      </c>
      <c r="T9" s="95">
        <f>P9+Q9+R9+S9</f>
        <v>1348</v>
      </c>
      <c r="U9" s="497">
        <v>1</v>
      </c>
      <c r="V9" s="95">
        <f>T9*$U$9</f>
        <v>1348</v>
      </c>
      <c r="W9" s="95">
        <f>AQ9</f>
        <v>369.3</v>
      </c>
      <c r="X9" s="94">
        <v>1</v>
      </c>
      <c r="Y9" s="112">
        <v>30</v>
      </c>
      <c r="Z9" s="113">
        <f t="shared" ref="Z9:Z20" si="8">X9*Y9</f>
        <v>30</v>
      </c>
      <c r="AA9" s="94"/>
      <c r="AB9" s="112">
        <v>15</v>
      </c>
      <c r="AC9" s="113">
        <f t="shared" ref="AC9:AC20" si="9">AA9*AB9</f>
        <v>0</v>
      </c>
      <c r="AD9" s="94"/>
      <c r="AE9" s="112">
        <v>30</v>
      </c>
      <c r="AF9" s="113">
        <f>AD9*AE9</f>
        <v>0</v>
      </c>
      <c r="AG9" s="113">
        <f>(Z9+AC9+AF9)*1%*30</f>
        <v>9</v>
      </c>
      <c r="AH9" s="113">
        <f>Z9+AC9+AF9+AG9</f>
        <v>39</v>
      </c>
      <c r="AI9" s="114">
        <f t="shared" ref="AI9:AI19" si="10">V9/12/C9*1000</f>
        <v>112333.3</v>
      </c>
      <c r="AJ9" s="114"/>
      <c r="AK9" s="114">
        <f t="shared" ref="AK9:AK20" si="11">V9/C9</f>
        <v>1348</v>
      </c>
      <c r="AL9" s="114">
        <f>((979*0.302)+((AK9-979)*0.182))</f>
        <v>362.8</v>
      </c>
      <c r="AM9" s="115">
        <f>AL9/AK9</f>
        <v>0.26900000000000002</v>
      </c>
      <c r="AN9" s="50">
        <f>1150*0.22*C9+(V9-1150*C9)*0.1</f>
        <v>272.8</v>
      </c>
      <c r="AO9" s="116">
        <f>865*0.029</f>
        <v>25.1</v>
      </c>
      <c r="AP9" s="116">
        <f>AK9*0.053</f>
        <v>71.400000000000006</v>
      </c>
      <c r="AQ9" s="50">
        <f>SUM(AN9:AP9)</f>
        <v>369.3</v>
      </c>
      <c r="AS9" s="115"/>
    </row>
    <row r="10" spans="1:45" ht="13.8" x14ac:dyDescent="0.25">
      <c r="A10" s="94">
        <v>2</v>
      </c>
      <c r="B10" s="106" t="s">
        <v>125</v>
      </c>
      <c r="C10" s="94">
        <v>1</v>
      </c>
      <c r="D10" s="107">
        <v>17.972000000000001</v>
      </c>
      <c r="E10" s="108">
        <f t="shared" si="0"/>
        <v>17.97</v>
      </c>
      <c r="F10" s="109">
        <f t="shared" si="1"/>
        <v>215.6</v>
      </c>
      <c r="G10" s="110"/>
      <c r="H10" s="110"/>
      <c r="I10" s="110"/>
      <c r="J10" s="110"/>
      <c r="K10" s="95">
        <f>F10*0.3</f>
        <v>64.7</v>
      </c>
      <c r="L10" s="95">
        <f t="shared" ref="L10:L20" si="12">$L$4*F10</f>
        <v>8.3000000000000007</v>
      </c>
      <c r="M10" s="95">
        <f t="shared" si="2"/>
        <v>288.60000000000002</v>
      </c>
      <c r="N10" s="111">
        <v>0.47</v>
      </c>
      <c r="O10" s="95">
        <f t="shared" si="3"/>
        <v>135.6</v>
      </c>
      <c r="P10" s="95">
        <f t="shared" si="4"/>
        <v>424.2</v>
      </c>
      <c r="Q10" s="95">
        <f t="shared" si="5"/>
        <v>339.4</v>
      </c>
      <c r="R10" s="95">
        <f t="shared" si="6"/>
        <v>339.4</v>
      </c>
      <c r="S10" s="95">
        <f t="shared" si="7"/>
        <v>35.299999999999997</v>
      </c>
      <c r="T10" s="95">
        <f t="shared" ref="T10:T19" si="13">P10+Q10+R10+S10</f>
        <v>1138.3</v>
      </c>
      <c r="U10" s="498"/>
      <c r="V10" s="95">
        <f>T10*$U$9</f>
        <v>1138.3</v>
      </c>
      <c r="W10" s="95">
        <f>AQ10</f>
        <v>337.2</v>
      </c>
      <c r="X10" s="94"/>
      <c r="Y10" s="112">
        <v>30</v>
      </c>
      <c r="Z10" s="113">
        <f t="shared" si="8"/>
        <v>0</v>
      </c>
      <c r="AA10" s="94"/>
      <c r="AB10" s="112">
        <v>15</v>
      </c>
      <c r="AC10" s="113">
        <f t="shared" si="9"/>
        <v>0</v>
      </c>
      <c r="AD10" s="94"/>
      <c r="AE10" s="112">
        <v>30</v>
      </c>
      <c r="AF10" s="113">
        <f t="shared" ref="AF10:AF20" si="14">AD10*AE10</f>
        <v>0</v>
      </c>
      <c r="AG10" s="113">
        <f t="shared" ref="AG10:AG20" si="15">(Z10+AC10+AF10)*1%*30</f>
        <v>0</v>
      </c>
      <c r="AH10" s="113">
        <f t="shared" ref="AH10:AH20" si="16">Z10+AC10+AF10+AG10</f>
        <v>0</v>
      </c>
      <c r="AI10" s="114">
        <f t="shared" si="10"/>
        <v>94858.3</v>
      </c>
      <c r="AJ10" s="114"/>
      <c r="AK10" s="114">
        <f t="shared" si="11"/>
        <v>1138.3</v>
      </c>
      <c r="AL10" s="114">
        <f t="shared" ref="AL10:AL20" si="17">((979*0.302)+((AK10-979)*0.182))</f>
        <v>324.7</v>
      </c>
      <c r="AM10" s="115">
        <f>AL10/AK10</f>
        <v>0.28499999999999998</v>
      </c>
      <c r="AN10" s="50">
        <f>1150*0.22*C10+(V10-1150*C10)*0.1</f>
        <v>251.8</v>
      </c>
      <c r="AO10" s="116">
        <f>865*0.029</f>
        <v>25.1</v>
      </c>
      <c r="AP10" s="116">
        <f>AK10*0.053</f>
        <v>60.3</v>
      </c>
      <c r="AQ10" s="50">
        <f>SUM(AN10:AP10)</f>
        <v>337.2</v>
      </c>
      <c r="AS10" s="115"/>
    </row>
    <row r="11" spans="1:45" ht="13.8" x14ac:dyDescent="0.25">
      <c r="A11" s="94">
        <v>3</v>
      </c>
      <c r="B11" s="117" t="s">
        <v>29</v>
      </c>
      <c r="C11" s="118">
        <v>1</v>
      </c>
      <c r="D11" s="107">
        <v>8.4730000000000008</v>
      </c>
      <c r="E11" s="119">
        <f t="shared" si="0"/>
        <v>8.4700000000000006</v>
      </c>
      <c r="F11" s="110">
        <f t="shared" si="1"/>
        <v>101.6</v>
      </c>
      <c r="G11" s="110"/>
      <c r="H11" s="110"/>
      <c r="I11" s="110"/>
      <c r="J11" s="110"/>
      <c r="K11" s="95"/>
      <c r="L11" s="95">
        <f t="shared" si="12"/>
        <v>3.9</v>
      </c>
      <c r="M11" s="95">
        <f t="shared" si="2"/>
        <v>105.5</v>
      </c>
      <c r="N11" s="111">
        <v>0.41</v>
      </c>
      <c r="O11" s="95">
        <f t="shared" si="3"/>
        <v>43.3</v>
      </c>
      <c r="P11" s="95">
        <f t="shared" si="4"/>
        <v>148.80000000000001</v>
      </c>
      <c r="Q11" s="95">
        <f t="shared" si="5"/>
        <v>119</v>
      </c>
      <c r="R11" s="95">
        <f t="shared" si="6"/>
        <v>119</v>
      </c>
      <c r="S11" s="95">
        <f t="shared" si="7"/>
        <v>12.4</v>
      </c>
      <c r="T11" s="95">
        <f t="shared" si="13"/>
        <v>399.2</v>
      </c>
      <c r="U11" s="498"/>
      <c r="V11" s="95">
        <f t="shared" ref="V11:V19" si="18">T11*$U$9</f>
        <v>399.2</v>
      </c>
      <c r="W11" s="95">
        <f t="shared" ref="W11:W20" si="19">V11*0.302</f>
        <v>120.6</v>
      </c>
      <c r="X11" s="120"/>
      <c r="Y11" s="112">
        <v>30</v>
      </c>
      <c r="Z11" s="113">
        <f t="shared" si="8"/>
        <v>0</v>
      </c>
      <c r="AA11" s="120"/>
      <c r="AB11" s="112">
        <v>15</v>
      </c>
      <c r="AC11" s="113">
        <f t="shared" si="9"/>
        <v>0</v>
      </c>
      <c r="AD11" s="120"/>
      <c r="AE11" s="112">
        <v>30</v>
      </c>
      <c r="AF11" s="113">
        <f t="shared" si="14"/>
        <v>0</v>
      </c>
      <c r="AG11" s="113">
        <f t="shared" si="15"/>
        <v>0</v>
      </c>
      <c r="AH11" s="113">
        <f t="shared" si="16"/>
        <v>0</v>
      </c>
      <c r="AI11" s="114">
        <f t="shared" si="10"/>
        <v>33266.699999999997</v>
      </c>
      <c r="AJ11" s="114"/>
      <c r="AK11" s="114">
        <f t="shared" si="11"/>
        <v>399.2</v>
      </c>
      <c r="AL11" s="114">
        <f t="shared" si="17"/>
        <v>190.1</v>
      </c>
      <c r="AM11" s="115">
        <v>0.30199999999999999</v>
      </c>
      <c r="AN11" s="116"/>
      <c r="AO11" s="116"/>
      <c r="AP11" s="116"/>
      <c r="AQ11" s="116"/>
      <c r="AS11" s="115"/>
    </row>
    <row r="12" spans="1:45" s="126" customFormat="1" ht="13.8" x14ac:dyDescent="0.25">
      <c r="A12" s="94">
        <v>4</v>
      </c>
      <c r="B12" s="121" t="s">
        <v>31</v>
      </c>
      <c r="C12" s="122">
        <v>1</v>
      </c>
      <c r="D12" s="107">
        <v>11.061999999999999</v>
      </c>
      <c r="E12" s="123">
        <f t="shared" si="0"/>
        <v>11.06</v>
      </c>
      <c r="F12" s="124">
        <f t="shared" si="1"/>
        <v>132.69999999999999</v>
      </c>
      <c r="G12" s="124"/>
      <c r="H12" s="124"/>
      <c r="I12" s="124"/>
      <c r="J12" s="125"/>
      <c r="K12" s="96"/>
      <c r="L12" s="95">
        <f t="shared" si="12"/>
        <v>5.0999999999999996</v>
      </c>
      <c r="M12" s="96">
        <f t="shared" si="2"/>
        <v>137.80000000000001</v>
      </c>
      <c r="N12" s="111">
        <v>0.47</v>
      </c>
      <c r="O12" s="96">
        <f t="shared" si="3"/>
        <v>64.8</v>
      </c>
      <c r="P12" s="96">
        <f t="shared" si="4"/>
        <v>202.6</v>
      </c>
      <c r="Q12" s="96">
        <f t="shared" si="5"/>
        <v>162.1</v>
      </c>
      <c r="R12" s="96">
        <f t="shared" si="6"/>
        <v>162.1</v>
      </c>
      <c r="S12" s="96">
        <f t="shared" si="7"/>
        <v>16.899999999999999</v>
      </c>
      <c r="T12" s="96">
        <f t="shared" si="13"/>
        <v>543.70000000000005</v>
      </c>
      <c r="U12" s="498"/>
      <c r="V12" s="96">
        <f t="shared" si="18"/>
        <v>543.70000000000005</v>
      </c>
      <c r="W12" s="95">
        <f t="shared" si="19"/>
        <v>164.2</v>
      </c>
      <c r="X12" s="122">
        <v>1</v>
      </c>
      <c r="Y12" s="112">
        <v>30</v>
      </c>
      <c r="Z12" s="113">
        <f t="shared" si="8"/>
        <v>30</v>
      </c>
      <c r="AA12" s="122"/>
      <c r="AB12" s="112">
        <v>15</v>
      </c>
      <c r="AC12" s="113">
        <f t="shared" si="9"/>
        <v>0</v>
      </c>
      <c r="AD12" s="122"/>
      <c r="AE12" s="112">
        <v>30</v>
      </c>
      <c r="AF12" s="113">
        <f t="shared" si="14"/>
        <v>0</v>
      </c>
      <c r="AG12" s="113">
        <f t="shared" si="15"/>
        <v>9</v>
      </c>
      <c r="AH12" s="113">
        <f t="shared" si="16"/>
        <v>39</v>
      </c>
      <c r="AI12" s="114">
        <f t="shared" si="10"/>
        <v>45308.3</v>
      </c>
      <c r="AJ12" s="114"/>
      <c r="AK12" s="114">
        <f t="shared" si="11"/>
        <v>543.70000000000005</v>
      </c>
      <c r="AL12" s="114">
        <f t="shared" si="17"/>
        <v>216.4</v>
      </c>
      <c r="AM12" s="115">
        <v>0.30199999999999999</v>
      </c>
      <c r="AN12" s="22"/>
      <c r="AO12" s="116"/>
      <c r="AP12" s="116"/>
      <c r="AQ12" s="116"/>
      <c r="AS12" s="115"/>
    </row>
    <row r="13" spans="1:45" ht="26.4" x14ac:dyDescent="0.25">
      <c r="A13" s="94">
        <v>5</v>
      </c>
      <c r="B13" s="117" t="s">
        <v>108</v>
      </c>
      <c r="C13" s="127">
        <v>2</v>
      </c>
      <c r="D13" s="107">
        <v>8.4730000000000008</v>
      </c>
      <c r="E13" s="119">
        <f t="shared" si="0"/>
        <v>16.95</v>
      </c>
      <c r="F13" s="110">
        <f t="shared" si="1"/>
        <v>203.4</v>
      </c>
      <c r="G13" s="110"/>
      <c r="H13" s="110"/>
      <c r="I13" s="110"/>
      <c r="J13" s="110"/>
      <c r="K13" s="95">
        <f>F13*0.25</f>
        <v>50.9</v>
      </c>
      <c r="L13" s="95">
        <f t="shared" si="12"/>
        <v>7.8</v>
      </c>
      <c r="M13" s="95">
        <f t="shared" si="2"/>
        <v>262.10000000000002</v>
      </c>
      <c r="N13" s="111">
        <v>0.47</v>
      </c>
      <c r="O13" s="95">
        <f t="shared" si="3"/>
        <v>123.2</v>
      </c>
      <c r="P13" s="95">
        <f t="shared" si="4"/>
        <v>385.3</v>
      </c>
      <c r="Q13" s="95">
        <f t="shared" si="5"/>
        <v>308.2</v>
      </c>
      <c r="R13" s="95">
        <f t="shared" si="6"/>
        <v>308.2</v>
      </c>
      <c r="S13" s="95">
        <f t="shared" si="7"/>
        <v>32.1</v>
      </c>
      <c r="T13" s="95">
        <f t="shared" si="13"/>
        <v>1033.8</v>
      </c>
      <c r="U13" s="498"/>
      <c r="V13" s="95">
        <f>T13*$U$9</f>
        <v>1033.8</v>
      </c>
      <c r="W13" s="95">
        <f t="shared" si="19"/>
        <v>312.2</v>
      </c>
      <c r="X13" s="94">
        <v>1</v>
      </c>
      <c r="Y13" s="112">
        <v>30</v>
      </c>
      <c r="Z13" s="113">
        <f t="shared" si="8"/>
        <v>30</v>
      </c>
      <c r="AA13" s="127">
        <v>1</v>
      </c>
      <c r="AB13" s="112">
        <v>15</v>
      </c>
      <c r="AC13" s="113">
        <f t="shared" si="9"/>
        <v>15</v>
      </c>
      <c r="AD13" s="127"/>
      <c r="AE13" s="112">
        <v>30</v>
      </c>
      <c r="AF13" s="113">
        <f t="shared" si="14"/>
        <v>0</v>
      </c>
      <c r="AG13" s="113">
        <f t="shared" si="15"/>
        <v>13.5</v>
      </c>
      <c r="AH13" s="113">
        <f t="shared" si="16"/>
        <v>58.5</v>
      </c>
      <c r="AI13" s="114">
        <f t="shared" si="10"/>
        <v>43075</v>
      </c>
      <c r="AJ13" s="114"/>
      <c r="AK13" s="114">
        <f t="shared" si="11"/>
        <v>516.9</v>
      </c>
      <c r="AL13" s="114">
        <f t="shared" si="17"/>
        <v>211.6</v>
      </c>
      <c r="AM13" s="115">
        <v>0.30199999999999999</v>
      </c>
      <c r="AQ13" s="116"/>
      <c r="AS13" s="115"/>
    </row>
    <row r="14" spans="1:45" ht="13.8" x14ac:dyDescent="0.25">
      <c r="A14" s="94">
        <v>6</v>
      </c>
      <c r="B14" s="117" t="s">
        <v>32</v>
      </c>
      <c r="C14" s="128">
        <v>1</v>
      </c>
      <c r="D14" s="107">
        <v>11.061999999999999</v>
      </c>
      <c r="E14" s="119">
        <f t="shared" si="0"/>
        <v>11.06</v>
      </c>
      <c r="F14" s="110">
        <f t="shared" si="1"/>
        <v>132.69999999999999</v>
      </c>
      <c r="G14" s="110"/>
      <c r="H14" s="110"/>
      <c r="I14" s="110"/>
      <c r="J14" s="110"/>
      <c r="K14" s="95"/>
      <c r="L14" s="95">
        <f t="shared" si="12"/>
        <v>5.0999999999999996</v>
      </c>
      <c r="M14" s="95">
        <f t="shared" si="2"/>
        <v>137.80000000000001</v>
      </c>
      <c r="N14" s="111">
        <v>0.43</v>
      </c>
      <c r="O14" s="95">
        <f t="shared" si="3"/>
        <v>59.3</v>
      </c>
      <c r="P14" s="95">
        <f t="shared" si="4"/>
        <v>197.1</v>
      </c>
      <c r="Q14" s="95">
        <f t="shared" si="5"/>
        <v>157.69999999999999</v>
      </c>
      <c r="R14" s="95">
        <f t="shared" si="6"/>
        <v>157.69999999999999</v>
      </c>
      <c r="S14" s="95">
        <f t="shared" si="7"/>
        <v>16.399999999999999</v>
      </c>
      <c r="T14" s="95">
        <f t="shared" si="13"/>
        <v>528.9</v>
      </c>
      <c r="U14" s="498"/>
      <c r="V14" s="95">
        <f t="shared" si="18"/>
        <v>528.9</v>
      </c>
      <c r="W14" s="95">
        <f t="shared" si="19"/>
        <v>159.69999999999999</v>
      </c>
      <c r="X14" s="94">
        <v>1</v>
      </c>
      <c r="Y14" s="112">
        <v>30</v>
      </c>
      <c r="Z14" s="113">
        <f t="shared" si="8"/>
        <v>30</v>
      </c>
      <c r="AA14" s="127"/>
      <c r="AB14" s="112">
        <v>15</v>
      </c>
      <c r="AC14" s="113">
        <f t="shared" si="9"/>
        <v>0</v>
      </c>
      <c r="AD14" s="127"/>
      <c r="AE14" s="112">
        <v>30</v>
      </c>
      <c r="AF14" s="113">
        <f t="shared" si="14"/>
        <v>0</v>
      </c>
      <c r="AG14" s="113">
        <f t="shared" si="15"/>
        <v>9</v>
      </c>
      <c r="AH14" s="113">
        <f t="shared" si="16"/>
        <v>39</v>
      </c>
      <c r="AI14" s="114">
        <f t="shared" si="10"/>
        <v>44075</v>
      </c>
      <c r="AJ14" s="114"/>
      <c r="AK14" s="114">
        <f t="shared" si="11"/>
        <v>528.9</v>
      </c>
      <c r="AL14" s="114">
        <f t="shared" si="17"/>
        <v>213.7</v>
      </c>
      <c r="AM14" s="115">
        <v>0.30199999999999999</v>
      </c>
      <c r="AO14" s="116"/>
      <c r="AP14" s="116"/>
      <c r="AQ14" s="116"/>
      <c r="AS14" s="115"/>
    </row>
    <row r="15" spans="1:45" x14ac:dyDescent="0.25">
      <c r="A15" s="94">
        <v>7</v>
      </c>
      <c r="B15" s="129" t="s">
        <v>23</v>
      </c>
      <c r="C15" s="128">
        <v>1</v>
      </c>
      <c r="D15" s="107">
        <v>11.061999999999999</v>
      </c>
      <c r="E15" s="119">
        <f t="shared" si="0"/>
        <v>11.06</v>
      </c>
      <c r="F15" s="110">
        <f t="shared" si="1"/>
        <v>132.69999999999999</v>
      </c>
      <c r="G15" s="110"/>
      <c r="H15" s="110"/>
      <c r="I15" s="110"/>
      <c r="J15" s="110"/>
      <c r="K15" s="95">
        <f>D15*0.3*9+D15*0.35*3</f>
        <v>41.5</v>
      </c>
      <c r="L15" s="95">
        <f t="shared" si="12"/>
        <v>5.0999999999999996</v>
      </c>
      <c r="M15" s="95">
        <f t="shared" si="2"/>
        <v>179.3</v>
      </c>
      <c r="N15" s="111">
        <v>0.43</v>
      </c>
      <c r="O15" s="95">
        <f t="shared" si="3"/>
        <v>77.099999999999994</v>
      </c>
      <c r="P15" s="95">
        <f t="shared" si="4"/>
        <v>256.39999999999998</v>
      </c>
      <c r="Q15" s="95">
        <f t="shared" si="5"/>
        <v>205.1</v>
      </c>
      <c r="R15" s="95">
        <f t="shared" si="6"/>
        <v>205.1</v>
      </c>
      <c r="S15" s="95">
        <f t="shared" si="7"/>
        <v>21.3</v>
      </c>
      <c r="T15" s="95">
        <f t="shared" si="13"/>
        <v>687.9</v>
      </c>
      <c r="U15" s="498"/>
      <c r="V15" s="95">
        <f t="shared" si="18"/>
        <v>687.9</v>
      </c>
      <c r="W15" s="95">
        <f t="shared" si="19"/>
        <v>207.7</v>
      </c>
      <c r="X15" s="118"/>
      <c r="Y15" s="112">
        <v>30</v>
      </c>
      <c r="Z15" s="113">
        <f t="shared" si="8"/>
        <v>0</v>
      </c>
      <c r="AA15" s="118"/>
      <c r="AB15" s="112">
        <v>15</v>
      </c>
      <c r="AC15" s="113">
        <f t="shared" si="9"/>
        <v>0</v>
      </c>
      <c r="AD15" s="118"/>
      <c r="AE15" s="112">
        <v>30</v>
      </c>
      <c r="AF15" s="113">
        <f t="shared" si="14"/>
        <v>0</v>
      </c>
      <c r="AG15" s="113">
        <f t="shared" si="15"/>
        <v>0</v>
      </c>
      <c r="AH15" s="113">
        <f t="shared" si="16"/>
        <v>0</v>
      </c>
      <c r="AI15" s="114">
        <f t="shared" si="10"/>
        <v>57325</v>
      </c>
      <c r="AJ15" s="114"/>
      <c r="AK15" s="114">
        <f t="shared" si="11"/>
        <v>687.9</v>
      </c>
      <c r="AL15" s="114">
        <f t="shared" si="17"/>
        <v>242.7</v>
      </c>
      <c r="AM15" s="115">
        <v>0.30199999999999999</v>
      </c>
      <c r="AS15" s="115"/>
    </row>
    <row r="16" spans="1:45" ht="13.8" x14ac:dyDescent="0.25">
      <c r="A16" s="94">
        <v>8</v>
      </c>
      <c r="B16" s="129" t="s">
        <v>33</v>
      </c>
      <c r="C16" s="128">
        <v>2</v>
      </c>
      <c r="D16" s="107">
        <v>8.4730000000000008</v>
      </c>
      <c r="E16" s="119">
        <f t="shared" si="0"/>
        <v>16.95</v>
      </c>
      <c r="F16" s="110">
        <f t="shared" si="1"/>
        <v>203.4</v>
      </c>
      <c r="G16" s="124">
        <f>29314.2/1000</f>
        <v>29.3</v>
      </c>
      <c r="H16" s="110">
        <f>9637.5/1000</f>
        <v>9.6</v>
      </c>
      <c r="I16" s="110"/>
      <c r="J16" s="110"/>
      <c r="K16" s="95">
        <f>D16*0.25*10+D16*0.3*2+F16*0.35</f>
        <v>97.5</v>
      </c>
      <c r="L16" s="95">
        <f t="shared" si="12"/>
        <v>7.8</v>
      </c>
      <c r="M16" s="95">
        <f t="shared" si="2"/>
        <v>347.6</v>
      </c>
      <c r="N16" s="111">
        <v>0.41</v>
      </c>
      <c r="O16" s="95">
        <f t="shared" si="3"/>
        <v>142.5</v>
      </c>
      <c r="P16" s="95">
        <f t="shared" si="4"/>
        <v>490.1</v>
      </c>
      <c r="Q16" s="95">
        <f t="shared" si="5"/>
        <v>392.1</v>
      </c>
      <c r="R16" s="95">
        <f t="shared" si="6"/>
        <v>392.1</v>
      </c>
      <c r="S16" s="95">
        <f t="shared" si="7"/>
        <v>40.799999999999997</v>
      </c>
      <c r="T16" s="95">
        <f t="shared" si="13"/>
        <v>1315.1</v>
      </c>
      <c r="U16" s="498"/>
      <c r="V16" s="95">
        <f t="shared" si="18"/>
        <v>1315.1</v>
      </c>
      <c r="W16" s="95">
        <f t="shared" si="19"/>
        <v>397.2</v>
      </c>
      <c r="X16" s="118">
        <v>1</v>
      </c>
      <c r="Y16" s="112">
        <v>30</v>
      </c>
      <c r="Z16" s="113">
        <f t="shared" si="8"/>
        <v>30</v>
      </c>
      <c r="AA16" s="118"/>
      <c r="AB16" s="112">
        <v>15</v>
      </c>
      <c r="AC16" s="113">
        <f t="shared" si="9"/>
        <v>0</v>
      </c>
      <c r="AD16" s="118"/>
      <c r="AE16" s="112">
        <v>30</v>
      </c>
      <c r="AF16" s="113">
        <f t="shared" si="14"/>
        <v>0</v>
      </c>
      <c r="AG16" s="113">
        <f t="shared" si="15"/>
        <v>9</v>
      </c>
      <c r="AH16" s="113">
        <f t="shared" si="16"/>
        <v>39</v>
      </c>
      <c r="AI16" s="114">
        <f t="shared" si="10"/>
        <v>54795.8</v>
      </c>
      <c r="AJ16" s="114"/>
      <c r="AK16" s="114">
        <f t="shared" si="11"/>
        <v>657.6</v>
      </c>
      <c r="AL16" s="114">
        <f t="shared" si="17"/>
        <v>237.2</v>
      </c>
      <c r="AM16" s="115">
        <v>0.30199999999999999</v>
      </c>
      <c r="AO16" s="116"/>
      <c r="AP16" s="116"/>
      <c r="AQ16" s="116"/>
      <c r="AS16" s="115"/>
    </row>
    <row r="17" spans="1:45" ht="52.8" x14ac:dyDescent="0.25">
      <c r="A17" s="94">
        <v>9</v>
      </c>
      <c r="B17" s="117" t="s">
        <v>103</v>
      </c>
      <c r="C17" s="128">
        <v>1</v>
      </c>
      <c r="D17" s="107">
        <v>4.4569999999999999</v>
      </c>
      <c r="E17" s="119">
        <f t="shared" si="0"/>
        <v>4.46</v>
      </c>
      <c r="F17" s="110">
        <f t="shared" si="1"/>
        <v>53.5</v>
      </c>
      <c r="G17" s="110"/>
      <c r="H17" s="110"/>
      <c r="I17" s="110"/>
      <c r="J17" s="110"/>
      <c r="K17" s="95"/>
      <c r="L17" s="95">
        <f t="shared" si="12"/>
        <v>2.1</v>
      </c>
      <c r="M17" s="95">
        <f t="shared" si="2"/>
        <v>55.6</v>
      </c>
      <c r="N17" s="111">
        <v>0.61</v>
      </c>
      <c r="O17" s="95">
        <f t="shared" si="3"/>
        <v>33.9</v>
      </c>
      <c r="P17" s="95">
        <f t="shared" si="4"/>
        <v>89.5</v>
      </c>
      <c r="Q17" s="95">
        <f t="shared" si="5"/>
        <v>71.599999999999994</v>
      </c>
      <c r="R17" s="95">
        <f t="shared" si="6"/>
        <v>71.599999999999994</v>
      </c>
      <c r="S17" s="95">
        <f t="shared" si="7"/>
        <v>7.4</v>
      </c>
      <c r="T17" s="95">
        <f t="shared" si="13"/>
        <v>240.1</v>
      </c>
      <c r="U17" s="498"/>
      <c r="V17" s="95">
        <f>T17*$U$9</f>
        <v>240.1</v>
      </c>
      <c r="W17" s="95">
        <f t="shared" si="19"/>
        <v>72.5</v>
      </c>
      <c r="X17" s="118"/>
      <c r="Y17" s="112">
        <v>30</v>
      </c>
      <c r="Z17" s="113">
        <f t="shared" si="8"/>
        <v>0</v>
      </c>
      <c r="AA17" s="118"/>
      <c r="AB17" s="112">
        <v>15</v>
      </c>
      <c r="AC17" s="113">
        <f t="shared" si="9"/>
        <v>0</v>
      </c>
      <c r="AD17" s="118"/>
      <c r="AE17" s="112">
        <v>30</v>
      </c>
      <c r="AF17" s="113">
        <f t="shared" si="14"/>
        <v>0</v>
      </c>
      <c r="AG17" s="113">
        <f t="shared" si="15"/>
        <v>0</v>
      </c>
      <c r="AH17" s="113">
        <f t="shared" si="16"/>
        <v>0</v>
      </c>
      <c r="AI17" s="114">
        <f t="shared" si="10"/>
        <v>20008.3</v>
      </c>
      <c r="AJ17" s="114"/>
      <c r="AK17" s="114">
        <f t="shared" si="11"/>
        <v>240.1</v>
      </c>
      <c r="AL17" s="114">
        <f t="shared" si="17"/>
        <v>161.19999999999999</v>
      </c>
      <c r="AM17" s="115">
        <v>0.30199999999999999</v>
      </c>
      <c r="AN17" s="130"/>
      <c r="AO17" s="130"/>
      <c r="AP17" s="130"/>
      <c r="AS17" s="115"/>
    </row>
    <row r="18" spans="1:45" s="126" customFormat="1" ht="26.4" x14ac:dyDescent="0.25">
      <c r="A18" s="94">
        <v>10</v>
      </c>
      <c r="B18" s="129" t="s">
        <v>34</v>
      </c>
      <c r="C18" s="122">
        <v>3</v>
      </c>
      <c r="D18" s="107">
        <v>7.1950000000000003</v>
      </c>
      <c r="E18" s="123">
        <f t="shared" si="0"/>
        <v>21.59</v>
      </c>
      <c r="F18" s="124">
        <f t="shared" si="1"/>
        <v>259.10000000000002</v>
      </c>
      <c r="G18" s="124">
        <f>44329.4/1000</f>
        <v>44.3</v>
      </c>
      <c r="H18" s="124">
        <f>16367.8/1000</f>
        <v>16.399999999999999</v>
      </c>
      <c r="I18" s="124"/>
      <c r="J18" s="125"/>
      <c r="K18" s="96"/>
      <c r="L18" s="95">
        <f t="shared" si="12"/>
        <v>9.9</v>
      </c>
      <c r="M18" s="96">
        <f t="shared" si="2"/>
        <v>329.7</v>
      </c>
      <c r="N18" s="111">
        <v>0.41</v>
      </c>
      <c r="O18" s="96">
        <f t="shared" si="3"/>
        <v>135.19999999999999</v>
      </c>
      <c r="P18" s="96">
        <f t="shared" si="4"/>
        <v>464.9</v>
      </c>
      <c r="Q18" s="96">
        <f t="shared" si="5"/>
        <v>371.9</v>
      </c>
      <c r="R18" s="96">
        <f t="shared" si="6"/>
        <v>371.9</v>
      </c>
      <c r="S18" s="96">
        <f t="shared" si="7"/>
        <v>38.700000000000003</v>
      </c>
      <c r="T18" s="96">
        <f t="shared" si="13"/>
        <v>1247.4000000000001</v>
      </c>
      <c r="U18" s="498"/>
      <c r="V18" s="96">
        <f t="shared" si="18"/>
        <v>1247.4000000000001</v>
      </c>
      <c r="W18" s="95">
        <f t="shared" si="19"/>
        <v>376.7</v>
      </c>
      <c r="X18" s="94">
        <v>1</v>
      </c>
      <c r="Y18" s="112">
        <v>30</v>
      </c>
      <c r="Z18" s="113">
        <f t="shared" si="8"/>
        <v>30</v>
      </c>
      <c r="AA18" s="94"/>
      <c r="AB18" s="112">
        <v>15</v>
      </c>
      <c r="AC18" s="113">
        <f t="shared" si="9"/>
        <v>0</v>
      </c>
      <c r="AD18" s="94"/>
      <c r="AE18" s="112">
        <v>30</v>
      </c>
      <c r="AF18" s="113">
        <f t="shared" si="14"/>
        <v>0</v>
      </c>
      <c r="AG18" s="113">
        <f t="shared" si="15"/>
        <v>9</v>
      </c>
      <c r="AH18" s="113">
        <f t="shared" si="16"/>
        <v>39</v>
      </c>
      <c r="AI18" s="114">
        <f t="shared" si="10"/>
        <v>34650</v>
      </c>
      <c r="AJ18" s="114"/>
      <c r="AK18" s="114">
        <f t="shared" si="11"/>
        <v>415.8</v>
      </c>
      <c r="AL18" s="114">
        <f t="shared" si="17"/>
        <v>193.2</v>
      </c>
      <c r="AM18" s="115">
        <v>0.30199999999999999</v>
      </c>
      <c r="AN18" s="130"/>
      <c r="AO18" s="130"/>
      <c r="AP18" s="130"/>
      <c r="AQ18" s="22"/>
      <c r="AS18" s="115"/>
    </row>
    <row r="19" spans="1:45" s="126" customFormat="1" x14ac:dyDescent="0.25">
      <c r="A19" s="94">
        <v>11</v>
      </c>
      <c r="B19" s="129" t="s">
        <v>35</v>
      </c>
      <c r="C19" s="122">
        <v>1</v>
      </c>
      <c r="D19" s="107">
        <v>4.4569999999999999</v>
      </c>
      <c r="E19" s="123">
        <f t="shared" si="0"/>
        <v>4.46</v>
      </c>
      <c r="F19" s="124">
        <f t="shared" si="1"/>
        <v>53.5</v>
      </c>
      <c r="G19" s="124"/>
      <c r="H19" s="124"/>
      <c r="I19" s="124"/>
      <c r="J19" s="125"/>
      <c r="K19" s="96"/>
      <c r="L19" s="95">
        <f t="shared" si="12"/>
        <v>2.1</v>
      </c>
      <c r="M19" s="96">
        <f t="shared" si="2"/>
        <v>55.6</v>
      </c>
      <c r="N19" s="111">
        <v>0.61</v>
      </c>
      <c r="O19" s="96">
        <f t="shared" si="3"/>
        <v>33.9</v>
      </c>
      <c r="P19" s="96">
        <f t="shared" si="4"/>
        <v>89.5</v>
      </c>
      <c r="Q19" s="96">
        <f t="shared" si="5"/>
        <v>71.599999999999994</v>
      </c>
      <c r="R19" s="96">
        <f t="shared" si="6"/>
        <v>71.599999999999994</v>
      </c>
      <c r="S19" s="96">
        <f t="shared" si="7"/>
        <v>7.4</v>
      </c>
      <c r="T19" s="96">
        <f t="shared" si="13"/>
        <v>240.1</v>
      </c>
      <c r="U19" s="498"/>
      <c r="V19" s="96">
        <f t="shared" si="18"/>
        <v>240.1</v>
      </c>
      <c r="W19" s="95">
        <f t="shared" si="19"/>
        <v>72.5</v>
      </c>
      <c r="X19" s="94"/>
      <c r="Y19" s="112">
        <v>30</v>
      </c>
      <c r="Z19" s="113">
        <f t="shared" si="8"/>
        <v>0</v>
      </c>
      <c r="AA19" s="94"/>
      <c r="AB19" s="112">
        <v>15</v>
      </c>
      <c r="AC19" s="113">
        <f t="shared" si="9"/>
        <v>0</v>
      </c>
      <c r="AD19" s="94"/>
      <c r="AE19" s="112">
        <v>30</v>
      </c>
      <c r="AF19" s="113">
        <f t="shared" si="14"/>
        <v>0</v>
      </c>
      <c r="AG19" s="113">
        <f t="shared" si="15"/>
        <v>0</v>
      </c>
      <c r="AH19" s="113">
        <f t="shared" si="16"/>
        <v>0</v>
      </c>
      <c r="AI19" s="114">
        <f t="shared" si="10"/>
        <v>20008.3</v>
      </c>
      <c r="AJ19" s="114"/>
      <c r="AK19" s="114">
        <f t="shared" si="11"/>
        <v>240.1</v>
      </c>
      <c r="AL19" s="114">
        <f t="shared" si="17"/>
        <v>161.19999999999999</v>
      </c>
      <c r="AM19" s="115">
        <v>0.30199999999999999</v>
      </c>
      <c r="AN19" s="130"/>
      <c r="AO19" s="130"/>
      <c r="AP19" s="130"/>
      <c r="AQ19" s="22"/>
      <c r="AS19" s="115"/>
    </row>
    <row r="20" spans="1:45" s="126" customFormat="1" x14ac:dyDescent="0.25">
      <c r="A20" s="94">
        <v>12</v>
      </c>
      <c r="B20" s="129" t="s">
        <v>25</v>
      </c>
      <c r="C20" s="125">
        <v>0.5</v>
      </c>
      <c r="D20" s="107">
        <v>4.3109999999999999</v>
      </c>
      <c r="E20" s="123">
        <f t="shared" si="0"/>
        <v>2.16</v>
      </c>
      <c r="F20" s="124">
        <f>E20*12</f>
        <v>25.9</v>
      </c>
      <c r="G20" s="124">
        <f>5056.7/1000</f>
        <v>5.0999999999999996</v>
      </c>
      <c r="H20" s="124">
        <f>437.8/1000</f>
        <v>0.4</v>
      </c>
      <c r="I20" s="124"/>
      <c r="J20" s="125"/>
      <c r="K20" s="96"/>
      <c r="L20" s="95">
        <f t="shared" si="12"/>
        <v>1</v>
      </c>
      <c r="M20" s="96">
        <f>F20+G20+H20+I20+J20+K20+L20</f>
        <v>32.4</v>
      </c>
      <c r="N20" s="111">
        <v>0.75</v>
      </c>
      <c r="O20" s="96">
        <f>M20*N20</f>
        <v>24.3</v>
      </c>
      <c r="P20" s="96">
        <f>M20+O20</f>
        <v>56.7</v>
      </c>
      <c r="Q20" s="96">
        <f>P20*0.8</f>
        <v>45.4</v>
      </c>
      <c r="R20" s="96">
        <f>P20*0.8</f>
        <v>45.4</v>
      </c>
      <c r="S20" s="96">
        <f>(P20+Q20+R20)*0.032</f>
        <v>4.7</v>
      </c>
      <c r="T20" s="96">
        <f>P20+Q20+R20+S20</f>
        <v>152.19999999999999</v>
      </c>
      <c r="U20" s="498"/>
      <c r="V20" s="96">
        <f>T20*$U$9</f>
        <v>152.19999999999999</v>
      </c>
      <c r="W20" s="95">
        <f t="shared" si="19"/>
        <v>46</v>
      </c>
      <c r="X20" s="94"/>
      <c r="Y20" s="112">
        <v>30</v>
      </c>
      <c r="Z20" s="113">
        <f t="shared" si="8"/>
        <v>0</v>
      </c>
      <c r="AA20" s="94"/>
      <c r="AB20" s="112">
        <v>15</v>
      </c>
      <c r="AC20" s="113">
        <f t="shared" si="9"/>
        <v>0</v>
      </c>
      <c r="AD20" s="94"/>
      <c r="AE20" s="112">
        <v>30</v>
      </c>
      <c r="AF20" s="113">
        <f t="shared" si="14"/>
        <v>0</v>
      </c>
      <c r="AG20" s="113">
        <f t="shared" si="15"/>
        <v>0</v>
      </c>
      <c r="AH20" s="113">
        <f t="shared" si="16"/>
        <v>0</v>
      </c>
      <c r="AI20" s="114">
        <f>V20/12*1000</f>
        <v>12683.3</v>
      </c>
      <c r="AJ20" s="114"/>
      <c r="AK20" s="114">
        <f t="shared" si="11"/>
        <v>304.39999999999998</v>
      </c>
      <c r="AL20" s="114">
        <f t="shared" si="17"/>
        <v>172.9</v>
      </c>
      <c r="AM20" s="115">
        <v>0.30199999999999999</v>
      </c>
      <c r="AN20" s="130"/>
      <c r="AO20" s="130"/>
      <c r="AP20" s="130"/>
      <c r="AQ20" s="22"/>
      <c r="AS20" s="115"/>
    </row>
    <row r="21" spans="1:45" s="98" customFormat="1" ht="20.25" customHeight="1" x14ac:dyDescent="0.25">
      <c r="A21" s="494" t="s">
        <v>8</v>
      </c>
      <c r="B21" s="494"/>
      <c r="C21" s="97">
        <f t="shared" ref="C21:M21" si="20">SUM(C9:C20)</f>
        <v>15.5</v>
      </c>
      <c r="D21" s="97">
        <f t="shared" si="20"/>
        <v>119.5</v>
      </c>
      <c r="E21" s="97">
        <f t="shared" si="20"/>
        <v>148.69999999999999</v>
      </c>
      <c r="F21" s="97">
        <f t="shared" si="20"/>
        <v>1783.7</v>
      </c>
      <c r="G21" s="97">
        <f t="shared" si="20"/>
        <v>78.7</v>
      </c>
      <c r="H21" s="97">
        <f t="shared" si="20"/>
        <v>26.4</v>
      </c>
      <c r="I21" s="97">
        <f t="shared" si="20"/>
        <v>0</v>
      </c>
      <c r="J21" s="97">
        <f t="shared" si="20"/>
        <v>0</v>
      </c>
      <c r="K21" s="97">
        <f t="shared" si="20"/>
        <v>316.39999999999998</v>
      </c>
      <c r="L21" s="97">
        <f t="shared" si="20"/>
        <v>68.599999999999994</v>
      </c>
      <c r="M21" s="97">
        <f t="shared" si="20"/>
        <v>2273.8000000000002</v>
      </c>
      <c r="N21" s="97"/>
      <c r="O21" s="97">
        <f t="shared" ref="O21:AH21" si="21">SUM(O9:O20)</f>
        <v>1033.7</v>
      </c>
      <c r="P21" s="97">
        <f t="shared" si="21"/>
        <v>3307.5</v>
      </c>
      <c r="Q21" s="97">
        <f t="shared" si="21"/>
        <v>2646</v>
      </c>
      <c r="R21" s="97">
        <f t="shared" si="21"/>
        <v>2646</v>
      </c>
      <c r="S21" s="97">
        <f t="shared" si="21"/>
        <v>275.2</v>
      </c>
      <c r="T21" s="97">
        <f t="shared" si="21"/>
        <v>8874.7000000000007</v>
      </c>
      <c r="U21" s="97">
        <f t="shared" si="21"/>
        <v>1</v>
      </c>
      <c r="V21" s="97">
        <f t="shared" si="21"/>
        <v>8874.7000000000007</v>
      </c>
      <c r="W21" s="97">
        <f t="shared" si="21"/>
        <v>2635.8</v>
      </c>
      <c r="X21" s="97">
        <f t="shared" si="21"/>
        <v>6</v>
      </c>
      <c r="Y21" s="97">
        <f t="shared" si="21"/>
        <v>360</v>
      </c>
      <c r="Z21" s="97">
        <f t="shared" si="21"/>
        <v>180</v>
      </c>
      <c r="AA21" s="97">
        <f t="shared" si="21"/>
        <v>1</v>
      </c>
      <c r="AB21" s="97">
        <f t="shared" si="21"/>
        <v>180</v>
      </c>
      <c r="AC21" s="97">
        <f t="shared" si="21"/>
        <v>15</v>
      </c>
      <c r="AD21" s="97">
        <f t="shared" si="21"/>
        <v>0</v>
      </c>
      <c r="AE21" s="97">
        <f t="shared" si="21"/>
        <v>360</v>
      </c>
      <c r="AF21" s="97">
        <f t="shared" si="21"/>
        <v>0</v>
      </c>
      <c r="AG21" s="97">
        <f t="shared" si="21"/>
        <v>58.5</v>
      </c>
      <c r="AH21" s="97">
        <f t="shared" si="21"/>
        <v>253.5</v>
      </c>
      <c r="AN21" s="130"/>
      <c r="AO21" s="130"/>
      <c r="AP21" s="130"/>
      <c r="AQ21" s="22"/>
    </row>
    <row r="22" spans="1:45" x14ac:dyDescent="0.25">
      <c r="G22" s="131"/>
      <c r="H22" s="131"/>
      <c r="I22" s="131"/>
      <c r="J22" s="131"/>
      <c r="K22" s="131"/>
      <c r="L22" s="131"/>
      <c r="M22" s="131"/>
      <c r="N22" s="131"/>
      <c r="O22" s="131"/>
      <c r="P22" s="131"/>
      <c r="Q22" s="131"/>
      <c r="R22" s="131"/>
      <c r="S22" s="131"/>
      <c r="T22" s="131"/>
      <c r="V22" s="114"/>
      <c r="W22" s="66"/>
      <c r="X22" s="132"/>
      <c r="Y22" s="132"/>
      <c r="Z22" s="132"/>
      <c r="AA22" s="131"/>
      <c r="AD22" s="131"/>
      <c r="AG22" s="131"/>
      <c r="AH22" s="131"/>
      <c r="AN22" s="130"/>
      <c r="AO22" s="130"/>
      <c r="AP22" s="130"/>
    </row>
    <row r="23" spans="1:45" x14ac:dyDescent="0.25">
      <c r="G23" s="131"/>
      <c r="H23" s="131"/>
      <c r="I23" s="131"/>
      <c r="J23" s="131"/>
      <c r="K23" s="131"/>
      <c r="L23" s="131"/>
      <c r="M23" s="131"/>
      <c r="N23" s="131"/>
      <c r="O23" s="131"/>
      <c r="P23" s="131"/>
      <c r="Q23" s="131"/>
      <c r="R23" s="131"/>
      <c r="S23" s="131"/>
      <c r="T23" s="131"/>
      <c r="V23" s="114"/>
      <c r="W23" s="114"/>
      <c r="X23" s="133"/>
      <c r="Y23" s="133"/>
      <c r="Z23" s="133"/>
      <c r="AA23" s="131"/>
      <c r="AD23" s="131"/>
      <c r="AG23" s="131"/>
      <c r="AH23" s="131"/>
      <c r="AN23" s="130"/>
      <c r="AO23" s="130"/>
      <c r="AP23" s="130"/>
    </row>
    <row r="24" spans="1:45" s="62" customFormat="1" ht="13.8" x14ac:dyDescent="0.25">
      <c r="A24" s="68"/>
      <c r="B24" s="63"/>
      <c r="C24" s="26"/>
      <c r="D24" s="26"/>
      <c r="E24" s="26"/>
      <c r="F24" s="26"/>
      <c r="G24" s="26"/>
      <c r="H24" s="26"/>
      <c r="I24" s="26"/>
      <c r="J24" s="26"/>
      <c r="K24" s="26"/>
      <c r="L24" s="26"/>
      <c r="M24" s="26"/>
      <c r="N24" s="26"/>
      <c r="O24" s="26"/>
      <c r="P24" s="26"/>
      <c r="Q24" s="26"/>
      <c r="R24" s="26"/>
      <c r="S24" s="26"/>
      <c r="T24" s="26"/>
      <c r="U24" s="64"/>
      <c r="V24" s="69"/>
      <c r="W24" s="69"/>
      <c r="X24" s="65"/>
      <c r="Y24" s="65"/>
      <c r="Z24" s="65"/>
      <c r="AA24" s="65"/>
      <c r="AB24" s="65"/>
      <c r="AC24" s="65"/>
      <c r="AD24" s="65"/>
      <c r="AE24" s="65"/>
      <c r="AF24" s="65"/>
      <c r="AG24" s="65"/>
      <c r="AH24" s="65"/>
      <c r="AI24" s="67"/>
      <c r="AJ24" s="61"/>
      <c r="AK24" s="61"/>
      <c r="AL24" s="134"/>
      <c r="AM24" s="135"/>
    </row>
    <row r="25" spans="1:45" s="75" customFormat="1" ht="13.8" x14ac:dyDescent="0.25">
      <c r="A25" s="70"/>
      <c r="B25" s="70"/>
      <c r="C25" s="71"/>
      <c r="D25" s="72"/>
      <c r="E25" s="72"/>
      <c r="F25" s="72"/>
      <c r="G25" s="72"/>
      <c r="H25" s="73"/>
      <c r="I25" s="73"/>
      <c r="J25" s="27"/>
      <c r="K25" s="27"/>
      <c r="L25" s="27"/>
      <c r="M25" s="27"/>
      <c r="N25" s="74"/>
      <c r="O25" s="27"/>
      <c r="P25" s="27"/>
      <c r="Q25" s="27"/>
      <c r="R25" s="27"/>
      <c r="S25" s="27"/>
      <c r="T25" s="27"/>
      <c r="U25" s="27"/>
      <c r="V25" s="27"/>
      <c r="W25" s="27"/>
      <c r="X25" s="27"/>
      <c r="Y25" s="27"/>
      <c r="Z25" s="27"/>
      <c r="AA25" s="27"/>
      <c r="AB25" s="27"/>
      <c r="AC25" s="27"/>
      <c r="AD25" s="27"/>
      <c r="AE25" s="27"/>
      <c r="AF25" s="27"/>
      <c r="AG25" s="27"/>
      <c r="AH25" s="27"/>
      <c r="AI25" s="27"/>
      <c r="AJ25" s="76"/>
      <c r="AN25" s="76"/>
      <c r="AO25" s="76"/>
      <c r="AP25" s="76"/>
      <c r="AQ25" s="76"/>
      <c r="AR25" s="76"/>
    </row>
    <row r="26" spans="1:45" s="75" customFormat="1" ht="55.5" customHeight="1" x14ac:dyDescent="0.25">
      <c r="A26" s="70"/>
      <c r="B26" s="70"/>
      <c r="C26" s="71"/>
      <c r="D26" s="77"/>
      <c r="E26" s="77"/>
      <c r="F26" s="27"/>
      <c r="G26" s="481" t="s">
        <v>140</v>
      </c>
      <c r="H26" s="481"/>
      <c r="I26" s="481" t="s">
        <v>141</v>
      </c>
      <c r="J26" s="481"/>
      <c r="K26" s="481" t="s">
        <v>128</v>
      </c>
      <c r="L26" s="481"/>
      <c r="Q26" s="27"/>
      <c r="R26" s="27"/>
      <c r="S26" s="27"/>
      <c r="T26" s="27"/>
      <c r="U26" s="27"/>
      <c r="V26" s="27"/>
      <c r="W26" s="27"/>
      <c r="X26" s="27"/>
      <c r="Y26" s="27"/>
      <c r="Z26" s="27"/>
      <c r="AA26" s="27"/>
      <c r="AB26" s="27"/>
      <c r="AC26" s="27"/>
      <c r="AD26" s="27"/>
      <c r="AE26" s="27"/>
      <c r="AF26" s="27"/>
      <c r="AG26" s="27"/>
      <c r="AH26" s="27"/>
      <c r="AI26" s="27"/>
      <c r="AJ26" s="76"/>
      <c r="AN26" s="76"/>
      <c r="AO26" s="76"/>
      <c r="AP26" s="76"/>
      <c r="AQ26" s="76"/>
      <c r="AR26" s="76"/>
    </row>
    <row r="27" spans="1:45" s="75" customFormat="1" ht="13.8" x14ac:dyDescent="0.25">
      <c r="A27" s="70"/>
      <c r="B27" s="70"/>
      <c r="C27" s="71"/>
      <c r="D27" s="77"/>
      <c r="E27" s="77"/>
      <c r="F27" s="27"/>
      <c r="G27" s="28">
        <v>991</v>
      </c>
      <c r="H27" s="28">
        <v>992</v>
      </c>
      <c r="I27" s="28">
        <v>991</v>
      </c>
      <c r="J27" s="28">
        <v>992</v>
      </c>
      <c r="K27" s="28">
        <v>991</v>
      </c>
      <c r="L27" s="28">
        <v>992</v>
      </c>
      <c r="Q27" s="27"/>
      <c r="R27" s="27"/>
      <c r="S27" s="27"/>
      <c r="T27" s="27"/>
      <c r="U27" s="27"/>
      <c r="V27" s="27"/>
      <c r="W27" s="27"/>
      <c r="X27" s="27"/>
      <c r="Y27" s="27"/>
      <c r="Z27" s="27"/>
      <c r="AA27" s="27"/>
      <c r="AB27" s="27"/>
      <c r="AC27" s="27"/>
      <c r="AD27" s="27"/>
      <c r="AE27" s="27"/>
      <c r="AF27" s="27"/>
      <c r="AG27" s="27"/>
      <c r="AH27" s="27"/>
      <c r="AI27" s="27"/>
      <c r="AJ27" s="76"/>
      <c r="AN27" s="76"/>
      <c r="AO27" s="76"/>
      <c r="AP27" s="76"/>
      <c r="AQ27" s="76"/>
      <c r="AR27" s="76"/>
    </row>
    <row r="28" spans="1:45" s="75" customFormat="1" ht="13.8" x14ac:dyDescent="0.25">
      <c r="A28" s="70"/>
      <c r="B28" s="70"/>
      <c r="C28" s="71"/>
      <c r="D28" s="77"/>
      <c r="E28" s="77"/>
      <c r="F28" s="27"/>
      <c r="G28" s="29">
        <v>8874.7000000000007</v>
      </c>
      <c r="H28" s="29">
        <v>2640.7</v>
      </c>
      <c r="I28" s="29">
        <f>V21</f>
        <v>8874.7000000000007</v>
      </c>
      <c r="J28" s="29">
        <f>W21</f>
        <v>2635.8</v>
      </c>
      <c r="K28" s="29">
        <f>G28-I28</f>
        <v>0</v>
      </c>
      <c r="L28" s="29">
        <f>H28-J28</f>
        <v>4.9000000000000004</v>
      </c>
      <c r="Q28" s="27"/>
      <c r="R28" s="27"/>
      <c r="S28" s="27"/>
      <c r="T28" s="27"/>
      <c r="U28" s="27"/>
      <c r="V28" s="27"/>
      <c r="W28" s="27"/>
      <c r="X28" s="27"/>
      <c r="Y28" s="27"/>
      <c r="Z28" s="27"/>
      <c r="AA28" s="27"/>
      <c r="AB28" s="27"/>
      <c r="AC28" s="27"/>
      <c r="AD28" s="27"/>
      <c r="AE28" s="27"/>
      <c r="AF28" s="27"/>
      <c r="AG28" s="27"/>
      <c r="AH28" s="27"/>
      <c r="AI28" s="27"/>
      <c r="AJ28" s="76"/>
      <c r="AN28" s="76"/>
      <c r="AO28" s="76"/>
      <c r="AP28" s="76"/>
      <c r="AQ28" s="76"/>
      <c r="AR28" s="76"/>
    </row>
    <row r="29" spans="1:45" s="143" customFormat="1" ht="13.8" x14ac:dyDescent="0.25">
      <c r="A29" s="136"/>
      <c r="B29" s="136"/>
      <c r="C29" s="137"/>
      <c r="D29" s="138"/>
      <c r="E29" s="138"/>
      <c r="F29" s="138"/>
      <c r="G29" s="138"/>
      <c r="H29" s="139"/>
      <c r="I29" s="139"/>
      <c r="J29" s="140"/>
      <c r="K29" s="140"/>
      <c r="L29" s="140"/>
      <c r="M29" s="140"/>
      <c r="N29" s="141"/>
      <c r="O29" s="140"/>
      <c r="P29" s="140"/>
      <c r="Q29" s="140"/>
      <c r="R29" s="140"/>
      <c r="S29" s="140"/>
      <c r="T29" s="140"/>
      <c r="U29" s="140"/>
      <c r="V29" s="140"/>
      <c r="W29" s="140"/>
      <c r="X29" s="140"/>
      <c r="Y29" s="140"/>
      <c r="Z29" s="140"/>
      <c r="AA29" s="140"/>
      <c r="AB29" s="140"/>
      <c r="AC29" s="140"/>
      <c r="AD29" s="140"/>
      <c r="AE29" s="140"/>
      <c r="AF29" s="140"/>
      <c r="AG29" s="140"/>
      <c r="AH29" s="140"/>
      <c r="AI29" s="142"/>
      <c r="AN29" s="22"/>
      <c r="AO29" s="22"/>
      <c r="AP29" s="22"/>
      <c r="AQ29" s="22"/>
    </row>
    <row r="30" spans="1:45" s="143" customFormat="1" ht="13.8" x14ac:dyDescent="0.25">
      <c r="A30" s="136"/>
      <c r="B30" s="136"/>
      <c r="C30" s="137"/>
      <c r="D30" s="138"/>
      <c r="E30" s="138"/>
      <c r="F30" s="138"/>
      <c r="G30" s="138"/>
      <c r="H30" s="139"/>
      <c r="I30" s="139"/>
      <c r="J30" s="140"/>
      <c r="K30" s="140"/>
      <c r="L30" s="140"/>
      <c r="M30" s="140"/>
      <c r="N30" s="141"/>
      <c r="O30" s="140"/>
      <c r="P30" s="140"/>
      <c r="Q30" s="140"/>
      <c r="R30" s="140"/>
      <c r="S30" s="140"/>
      <c r="T30" s="140"/>
      <c r="U30" s="140"/>
      <c r="V30" s="140"/>
      <c r="W30" s="140"/>
      <c r="X30" s="140"/>
      <c r="Y30" s="140"/>
      <c r="Z30" s="140"/>
      <c r="AA30" s="140"/>
      <c r="AB30" s="140"/>
      <c r="AC30" s="140"/>
      <c r="AD30" s="140"/>
      <c r="AE30" s="140"/>
      <c r="AF30" s="140"/>
      <c r="AG30" s="140"/>
      <c r="AH30" s="140"/>
      <c r="AI30" s="142"/>
      <c r="AN30" s="22"/>
      <c r="AO30" s="22"/>
      <c r="AP30" s="22"/>
      <c r="AQ30" s="22"/>
    </row>
    <row r="31" spans="1:45" s="143" customFormat="1" ht="13.8" x14ac:dyDescent="0.25">
      <c r="A31" s="136"/>
      <c r="B31" s="136"/>
      <c r="C31" s="137"/>
      <c r="D31" s="144"/>
      <c r="E31" s="144"/>
      <c r="F31" s="140"/>
      <c r="G31" s="140"/>
      <c r="H31" s="139"/>
      <c r="I31" s="139"/>
      <c r="J31" s="140"/>
      <c r="K31" s="140"/>
      <c r="L31" s="140"/>
      <c r="M31" s="140"/>
      <c r="N31" s="141"/>
      <c r="O31" s="140"/>
      <c r="P31" s="140"/>
      <c r="Q31" s="140"/>
      <c r="R31" s="140"/>
      <c r="S31" s="140"/>
      <c r="T31" s="140"/>
      <c r="U31" s="140"/>
      <c r="V31" s="140"/>
      <c r="W31" s="140"/>
      <c r="X31" s="140"/>
      <c r="Y31" s="140"/>
      <c r="Z31" s="140"/>
      <c r="AA31" s="140"/>
      <c r="AB31" s="140"/>
      <c r="AC31" s="140"/>
      <c r="AD31" s="140"/>
      <c r="AE31" s="140"/>
      <c r="AF31" s="140"/>
      <c r="AG31" s="140"/>
      <c r="AH31" s="140"/>
      <c r="AI31" s="142"/>
      <c r="AN31" s="22"/>
      <c r="AO31" s="22"/>
      <c r="AP31" s="22"/>
      <c r="AQ31" s="22"/>
    </row>
    <row r="32" spans="1:45" s="35" customFormat="1" ht="21" x14ac:dyDescent="0.25">
      <c r="A32" s="81"/>
      <c r="B32" s="82" t="s">
        <v>138</v>
      </c>
      <c r="C32" s="83"/>
      <c r="D32" s="84"/>
      <c r="E32" s="84"/>
      <c r="F32" s="85"/>
      <c r="G32" s="85"/>
      <c r="H32" s="86"/>
      <c r="I32" s="86"/>
      <c r="J32" s="85"/>
      <c r="K32" s="30" t="s">
        <v>166</v>
      </c>
      <c r="L32" s="85"/>
      <c r="M32" s="85"/>
      <c r="N32" s="87"/>
      <c r="O32" s="85"/>
      <c r="P32" s="85"/>
      <c r="Q32" s="85"/>
      <c r="R32" s="85"/>
      <c r="S32" s="85"/>
      <c r="T32" s="85"/>
      <c r="U32" s="85"/>
      <c r="V32" s="85"/>
      <c r="W32" s="85"/>
      <c r="X32" s="85"/>
      <c r="Y32" s="85"/>
      <c r="Z32" s="85"/>
      <c r="AA32" s="85"/>
      <c r="AB32" s="85"/>
      <c r="AC32" s="85"/>
      <c r="AD32" s="85"/>
      <c r="AE32" s="85"/>
      <c r="AF32" s="85"/>
      <c r="AG32" s="85"/>
      <c r="AH32" s="85"/>
      <c r="AI32" s="85"/>
      <c r="AK32" s="88"/>
      <c r="AL32" s="88"/>
      <c r="AM32" s="88"/>
      <c r="AN32" s="88"/>
      <c r="AO32" s="88"/>
    </row>
    <row r="33" spans="1:43" s="143" customFormat="1" ht="13.8" x14ac:dyDescent="0.25">
      <c r="A33" s="136"/>
      <c r="B33" s="136"/>
      <c r="C33" s="137"/>
      <c r="D33" s="144"/>
      <c r="E33" s="144"/>
      <c r="F33" s="140"/>
      <c r="G33" s="140"/>
      <c r="H33" s="139"/>
      <c r="I33" s="139"/>
      <c r="J33" s="140"/>
      <c r="K33" s="140"/>
      <c r="L33" s="140"/>
      <c r="M33" s="140"/>
      <c r="N33" s="141"/>
      <c r="O33" s="140"/>
      <c r="P33" s="140"/>
      <c r="Q33" s="140"/>
      <c r="R33" s="140"/>
      <c r="S33" s="140"/>
      <c r="T33" s="140"/>
      <c r="U33" s="140"/>
      <c r="V33" s="140"/>
      <c r="W33" s="140"/>
      <c r="X33" s="140"/>
      <c r="Y33" s="140"/>
      <c r="Z33" s="140"/>
      <c r="AA33" s="140"/>
      <c r="AB33" s="140"/>
      <c r="AC33" s="140"/>
      <c r="AD33" s="140"/>
      <c r="AE33" s="140"/>
      <c r="AF33" s="140"/>
      <c r="AG33" s="140"/>
      <c r="AH33" s="140"/>
      <c r="AI33" s="142"/>
      <c r="AN33" s="22"/>
      <c r="AO33" s="22"/>
      <c r="AP33" s="22"/>
      <c r="AQ33" s="22"/>
    </row>
    <row r="34" spans="1:43" s="143" customFormat="1" ht="20.25" customHeight="1" x14ac:dyDescent="0.25">
      <c r="A34" s="145" t="s">
        <v>96</v>
      </c>
      <c r="B34" s="145"/>
      <c r="C34" s="146"/>
      <c r="D34" s="146"/>
      <c r="E34" s="146"/>
      <c r="F34" s="146"/>
      <c r="G34" s="146"/>
      <c r="H34" s="146"/>
      <c r="I34" s="146"/>
      <c r="J34" s="146"/>
      <c r="K34" s="146"/>
      <c r="L34" s="147"/>
      <c r="M34" s="147"/>
      <c r="N34" s="148"/>
      <c r="O34" s="147"/>
      <c r="P34" s="147"/>
      <c r="Q34" s="147"/>
      <c r="R34" s="147"/>
      <c r="S34" s="147"/>
      <c r="T34" s="147"/>
      <c r="U34" s="147"/>
      <c r="V34" s="147"/>
      <c r="W34" s="147"/>
      <c r="X34" s="147"/>
      <c r="Y34" s="147"/>
      <c r="Z34" s="147"/>
      <c r="AA34" s="147"/>
      <c r="AB34" s="147"/>
      <c r="AC34" s="147"/>
      <c r="AD34" s="147"/>
      <c r="AE34" s="147"/>
      <c r="AF34" s="147"/>
      <c r="AG34" s="147"/>
      <c r="AH34" s="147"/>
      <c r="AI34" s="142"/>
      <c r="AN34" s="62"/>
      <c r="AO34" s="62"/>
      <c r="AP34" s="62"/>
      <c r="AQ34" s="60"/>
    </row>
    <row r="35" spans="1:43" s="143" customFormat="1" ht="20.25" customHeight="1" x14ac:dyDescent="0.25">
      <c r="A35" s="145" t="s">
        <v>139</v>
      </c>
      <c r="B35" s="149"/>
      <c r="C35" s="150"/>
      <c r="D35" s="150"/>
      <c r="E35" s="151"/>
      <c r="F35" s="151"/>
      <c r="G35" s="151"/>
      <c r="H35" s="151"/>
      <c r="I35" s="151"/>
      <c r="J35" s="151"/>
      <c r="K35" s="151"/>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2"/>
      <c r="AN35" s="62"/>
      <c r="AO35" s="62"/>
      <c r="AP35" s="62"/>
      <c r="AQ35" s="62"/>
    </row>
    <row r="36" spans="1:43" ht="16.8" x14ac:dyDescent="0.25">
      <c r="A36" s="152"/>
      <c r="I36" s="153"/>
      <c r="L36" s="99"/>
      <c r="M36" s="99"/>
      <c r="N36" s="99"/>
      <c r="O36" s="99"/>
      <c r="P36" s="99"/>
      <c r="Q36" s="99"/>
      <c r="W36" s="131"/>
      <c r="X36" s="131"/>
      <c r="AA36" s="131"/>
      <c r="AD36" s="131"/>
      <c r="AG36" s="131"/>
      <c r="AH36" s="131"/>
      <c r="AN36" s="62"/>
      <c r="AO36" s="62"/>
      <c r="AP36" s="62"/>
      <c r="AQ36" s="62"/>
    </row>
    <row r="37" spans="1:43" ht="16.8" x14ac:dyDescent="0.25">
      <c r="A37" s="152"/>
      <c r="E37" s="115"/>
      <c r="L37" s="99"/>
      <c r="M37" s="99"/>
      <c r="N37" s="99"/>
      <c r="O37" s="99"/>
      <c r="P37" s="99"/>
      <c r="Q37" s="99"/>
      <c r="W37" s="131"/>
      <c r="X37" s="131"/>
      <c r="AA37" s="131"/>
      <c r="AD37" s="131"/>
      <c r="AG37" s="131"/>
      <c r="AH37" s="131"/>
      <c r="AN37" s="62"/>
      <c r="AO37" s="62"/>
      <c r="AP37" s="62"/>
      <c r="AQ37" s="62"/>
    </row>
    <row r="38" spans="1:43" x14ac:dyDescent="0.25">
      <c r="E38" s="115"/>
    </row>
    <row r="39" spans="1:43" x14ac:dyDescent="0.25">
      <c r="E39" s="115"/>
    </row>
    <row r="40" spans="1:43" x14ac:dyDescent="0.25">
      <c r="E40" s="115"/>
    </row>
    <row r="41" spans="1:43" x14ac:dyDescent="0.25">
      <c r="E41" s="115"/>
    </row>
    <row r="42" spans="1:43" x14ac:dyDescent="0.25">
      <c r="E42" s="115"/>
    </row>
    <row r="43" spans="1:43" x14ac:dyDescent="0.25">
      <c r="E43" s="115"/>
    </row>
  </sheetData>
  <autoFilter ref="A8:AS8"/>
  <mergeCells count="37">
    <mergeCell ref="AE1:AH1"/>
    <mergeCell ref="A2:AH2"/>
    <mergeCell ref="A3:AH3"/>
    <mergeCell ref="A5:A7"/>
    <mergeCell ref="B5:B7"/>
    <mergeCell ref="C5:C7"/>
    <mergeCell ref="D5:W5"/>
    <mergeCell ref="D6:D7"/>
    <mergeCell ref="E6:E7"/>
    <mergeCell ref="F6:F7"/>
    <mergeCell ref="AG6:AG7"/>
    <mergeCell ref="X5:AH5"/>
    <mergeCell ref="R6:R7"/>
    <mergeCell ref="AH6:AH7"/>
    <mergeCell ref="AA6:AC6"/>
    <mergeCell ref="AD6:AF6"/>
    <mergeCell ref="A21:B21"/>
    <mergeCell ref="S6:S7"/>
    <mergeCell ref="T6:T7"/>
    <mergeCell ref="U6:U7"/>
    <mergeCell ref="V6:V7"/>
    <mergeCell ref="L6:L7"/>
    <mergeCell ref="M6:M7"/>
    <mergeCell ref="N6:O6"/>
    <mergeCell ref="P6:P7"/>
    <mergeCell ref="Q6:Q7"/>
    <mergeCell ref="G6:G7"/>
    <mergeCell ref="H6:H7"/>
    <mergeCell ref="I6:I7"/>
    <mergeCell ref="J6:J7"/>
    <mergeCell ref="U9:U20"/>
    <mergeCell ref="W6:W7"/>
    <mergeCell ref="X6:Z6"/>
    <mergeCell ref="G26:H26"/>
    <mergeCell ref="I26:J26"/>
    <mergeCell ref="K26:L26"/>
    <mergeCell ref="K6:K7"/>
  </mergeCells>
  <printOptions horizontalCentered="1"/>
  <pageMargins left="0" right="0" top="0" bottom="0" header="0.31496062992125984" footer="0.31496062992125984"/>
  <pageSetup paperSize="9" scale="38"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129"/>
  <sheetViews>
    <sheetView view="pageBreakPreview" topLeftCell="B14" zoomScaleSheetLayoutView="100" workbookViewId="0">
      <selection activeCell="J34" sqref="J34"/>
    </sheetView>
  </sheetViews>
  <sheetFormatPr defaultColWidth="9.33203125" defaultRowHeight="15.6" x14ac:dyDescent="0.25"/>
  <cols>
    <col min="1" max="1" width="77.33203125" style="296" customWidth="1"/>
    <col min="2" max="2" width="9.33203125" style="297" customWidth="1"/>
    <col min="3" max="3" width="16.33203125" style="296" customWidth="1"/>
    <col min="4" max="4" width="16.33203125" style="296" hidden="1" customWidth="1"/>
    <col min="5" max="5" width="23.33203125" style="296" customWidth="1"/>
    <col min="6" max="6" width="24.44140625" style="296" customWidth="1"/>
    <col min="7" max="7" width="19.77734375" style="296" hidden="1" customWidth="1"/>
    <col min="8" max="8" width="24.77734375" style="296" customWidth="1"/>
    <col min="9" max="9" width="16.44140625" style="296" hidden="1" customWidth="1"/>
    <col min="10" max="10" width="30.109375" style="296" customWidth="1"/>
    <col min="11" max="11" width="29.33203125" style="296" customWidth="1"/>
    <col min="12" max="12" width="30.6640625" style="296" customWidth="1"/>
    <col min="13" max="14" width="23.109375" style="296" customWidth="1"/>
    <col min="15" max="16384" width="9.33203125" style="296"/>
  </cols>
  <sheetData>
    <row r="1" spans="1:14" x14ac:dyDescent="0.25">
      <c r="J1" s="504" t="s">
        <v>398</v>
      </c>
      <c r="K1" s="504"/>
      <c r="L1" s="504"/>
      <c r="M1" s="504"/>
      <c r="N1" s="504"/>
    </row>
    <row r="3" spans="1:14" x14ac:dyDescent="0.25">
      <c r="J3" s="505" t="s">
        <v>436</v>
      </c>
      <c r="K3" s="505"/>
      <c r="L3" s="505"/>
      <c r="M3" s="505"/>
      <c r="N3" s="505"/>
    </row>
    <row r="4" spans="1:14" x14ac:dyDescent="0.25">
      <c r="J4" s="506" t="s">
        <v>399</v>
      </c>
      <c r="K4" s="506"/>
      <c r="L4" s="506"/>
      <c r="M4" s="506"/>
      <c r="N4" s="506"/>
    </row>
    <row r="5" spans="1:14" x14ac:dyDescent="0.25">
      <c r="J5" s="507"/>
      <c r="K5" s="507"/>
      <c r="L5" s="507"/>
      <c r="M5" s="507"/>
      <c r="N5" s="507"/>
    </row>
    <row r="7" spans="1:14" x14ac:dyDescent="0.25">
      <c r="J7" s="299"/>
      <c r="K7" s="299"/>
      <c r="M7" s="505" t="s">
        <v>437</v>
      </c>
      <c r="N7" s="505"/>
    </row>
    <row r="8" spans="1:14" x14ac:dyDescent="0.25">
      <c r="J8" s="506" t="s">
        <v>175</v>
      </c>
      <c r="K8" s="506"/>
      <c r="M8" s="372" t="s">
        <v>203</v>
      </c>
      <c r="N8" s="372"/>
    </row>
    <row r="9" spans="1:14" x14ac:dyDescent="0.25">
      <c r="J9" s="503" t="s">
        <v>435</v>
      </c>
      <c r="K9" s="504"/>
      <c r="L9" s="504"/>
      <c r="M9" s="504"/>
      <c r="N9" s="504"/>
    </row>
    <row r="10" spans="1:14" x14ac:dyDescent="0.25">
      <c r="K10" s="524"/>
      <c r="L10" s="524"/>
      <c r="M10" s="524"/>
      <c r="N10" s="524"/>
    </row>
    <row r="12" spans="1:14" s="399" customFormat="1" ht="18" x14ac:dyDescent="0.25">
      <c r="A12" s="525" t="s">
        <v>204</v>
      </c>
      <c r="B12" s="525"/>
      <c r="C12" s="525"/>
      <c r="D12" s="525"/>
      <c r="E12" s="525"/>
      <c r="F12" s="525"/>
      <c r="G12" s="525"/>
      <c r="H12" s="525"/>
      <c r="I12" s="525"/>
      <c r="J12" s="525"/>
      <c r="K12" s="525"/>
      <c r="L12" s="525"/>
      <c r="M12" s="525"/>
      <c r="N12" s="525"/>
    </row>
    <row r="13" spans="1:14" s="399" customFormat="1" ht="18" x14ac:dyDescent="0.25">
      <c r="A13" s="525" t="s">
        <v>395</v>
      </c>
      <c r="B13" s="525"/>
      <c r="C13" s="525"/>
      <c r="D13" s="525"/>
      <c r="E13" s="525"/>
      <c r="F13" s="525"/>
      <c r="G13" s="525"/>
      <c r="H13" s="525"/>
      <c r="I13" s="525"/>
      <c r="J13" s="525"/>
      <c r="K13" s="525"/>
      <c r="L13" s="525"/>
      <c r="M13" s="525"/>
      <c r="N13" s="525"/>
    </row>
    <row r="14" spans="1:14" s="364" customFormat="1" ht="21.75" customHeight="1" x14ac:dyDescent="0.25">
      <c r="A14" s="523" t="s">
        <v>415</v>
      </c>
      <c r="B14" s="523"/>
      <c r="C14" s="523"/>
      <c r="D14" s="523"/>
      <c r="E14" s="523"/>
      <c r="F14" s="523"/>
      <c r="G14" s="523"/>
      <c r="H14" s="523"/>
      <c r="I14" s="523"/>
      <c r="J14" s="523"/>
      <c r="K14" s="523"/>
      <c r="L14" s="523"/>
      <c r="M14" s="523"/>
      <c r="N14" s="523"/>
    </row>
    <row r="15" spans="1:14" ht="18.600000000000001" x14ac:dyDescent="0.25">
      <c r="B15" s="424"/>
      <c r="F15" s="504" t="s">
        <v>434</v>
      </c>
      <c r="G15" s="504"/>
      <c r="H15" s="504"/>
      <c r="I15" s="504"/>
    </row>
    <row r="16" spans="1:14" ht="16.2" thickBot="1" x14ac:dyDescent="0.3">
      <c r="B16" s="424"/>
      <c r="N16" s="425" t="s">
        <v>205</v>
      </c>
    </row>
    <row r="17" spans="1:14" x14ac:dyDescent="0.25">
      <c r="A17" s="296" t="s">
        <v>206</v>
      </c>
      <c r="B17" s="445"/>
      <c r="L17" s="522" t="s">
        <v>183</v>
      </c>
      <c r="M17" s="521"/>
      <c r="N17" s="422"/>
    </row>
    <row r="18" spans="1:14" x14ac:dyDescent="0.25">
      <c r="A18" s="296" t="s">
        <v>368</v>
      </c>
      <c r="B18" s="298"/>
      <c r="C18" s="298"/>
      <c r="D18" s="298"/>
      <c r="E18" s="298"/>
      <c r="F18" s="298"/>
      <c r="G18" s="298"/>
      <c r="H18" s="298"/>
      <c r="I18" s="298"/>
      <c r="J18" s="298"/>
      <c r="K18" s="298"/>
      <c r="L18" s="521" t="s">
        <v>207</v>
      </c>
      <c r="M18" s="521"/>
      <c r="N18" s="416"/>
    </row>
    <row r="19" spans="1:14" x14ac:dyDescent="0.25">
      <c r="B19" s="445"/>
      <c r="M19" s="446" t="s">
        <v>208</v>
      </c>
      <c r="N19" s="416"/>
    </row>
    <row r="20" spans="1:14" s="364" customFormat="1" x14ac:dyDescent="0.25">
      <c r="B20" s="448"/>
      <c r="M20" s="449" t="s">
        <v>207</v>
      </c>
      <c r="N20" s="450"/>
    </row>
    <row r="21" spans="1:14" s="364" customFormat="1" x14ac:dyDescent="0.25">
      <c r="A21" s="375" t="s">
        <v>414</v>
      </c>
      <c r="B21" s="451"/>
      <c r="C21" s="451"/>
      <c r="D21" s="451"/>
      <c r="E21" s="451"/>
      <c r="F21" s="451"/>
      <c r="G21" s="451"/>
      <c r="H21" s="451"/>
      <c r="I21" s="451"/>
      <c r="J21" s="451"/>
      <c r="K21" s="451"/>
      <c r="L21" s="451"/>
      <c r="M21" s="452" t="s">
        <v>209</v>
      </c>
      <c r="N21" s="450"/>
    </row>
    <row r="22" spans="1:14" s="364" customFormat="1" x14ac:dyDescent="0.25">
      <c r="A22" s="364" t="s">
        <v>210</v>
      </c>
      <c r="B22" s="448"/>
      <c r="E22" s="458">
        <v>0</v>
      </c>
      <c r="F22" s="458">
        <v>0</v>
      </c>
      <c r="G22" s="458"/>
      <c r="H22" s="458">
        <v>0</v>
      </c>
      <c r="I22" s="458">
        <v>0</v>
      </c>
      <c r="J22" s="458">
        <v>0</v>
      </c>
      <c r="K22" s="458">
        <v>0</v>
      </c>
      <c r="L22" s="458">
        <v>0</v>
      </c>
      <c r="M22" s="449" t="s">
        <v>211</v>
      </c>
      <c r="N22" s="450"/>
    </row>
    <row r="23" spans="1:14" s="375" customFormat="1" x14ac:dyDescent="0.25">
      <c r="B23" s="453"/>
      <c r="E23" s="458">
        <v>0</v>
      </c>
      <c r="F23" s="458">
        <v>0</v>
      </c>
      <c r="G23" s="458"/>
      <c r="H23" s="458">
        <v>0</v>
      </c>
      <c r="I23" s="458">
        <v>0</v>
      </c>
      <c r="J23" s="458">
        <v>0</v>
      </c>
      <c r="K23" s="458">
        <v>0</v>
      </c>
      <c r="L23" s="458">
        <v>0</v>
      </c>
      <c r="M23" s="454" t="s">
        <v>212</v>
      </c>
      <c r="N23" s="455">
        <v>383</v>
      </c>
    </row>
    <row r="24" spans="1:14" s="375" customFormat="1" x14ac:dyDescent="0.25">
      <c r="B24" s="453"/>
      <c r="E24" s="456"/>
      <c r="F24" s="456"/>
      <c r="G24" s="456"/>
      <c r="H24" s="456"/>
      <c r="I24" s="456"/>
      <c r="J24" s="456"/>
      <c r="K24" s="456"/>
      <c r="L24" s="456"/>
      <c r="M24" s="458">
        <v>0</v>
      </c>
      <c r="N24" s="458"/>
    </row>
    <row r="25" spans="1:14" s="375" customFormat="1" x14ac:dyDescent="0.25">
      <c r="B25" s="453"/>
      <c r="M25" s="458">
        <v>0</v>
      </c>
      <c r="N25" s="458">
        <v>0</v>
      </c>
    </row>
    <row r="26" spans="1:14" s="375" customFormat="1" x14ac:dyDescent="0.25">
      <c r="A26" s="513" t="s">
        <v>213</v>
      </c>
      <c r="B26" s="513"/>
      <c r="C26" s="513"/>
      <c r="D26" s="513"/>
      <c r="E26" s="513"/>
      <c r="F26" s="513"/>
      <c r="G26" s="513"/>
      <c r="H26" s="513"/>
      <c r="I26" s="513"/>
      <c r="J26" s="513"/>
      <c r="K26" s="513"/>
      <c r="L26" s="513"/>
      <c r="M26" s="513"/>
      <c r="N26" s="513"/>
    </row>
    <row r="27" spans="1:14" ht="17.25" customHeight="1" x14ac:dyDescent="0.25">
      <c r="A27" s="514" t="s">
        <v>177</v>
      </c>
      <c r="B27" s="517" t="s">
        <v>178</v>
      </c>
      <c r="C27" s="517" t="s">
        <v>214</v>
      </c>
      <c r="D27" s="517" t="s">
        <v>401</v>
      </c>
      <c r="E27" s="520" t="s">
        <v>215</v>
      </c>
      <c r="F27" s="520"/>
      <c r="G27" s="520"/>
      <c r="H27" s="520"/>
      <c r="I27" s="520"/>
      <c r="J27" s="520"/>
      <c r="K27" s="520"/>
      <c r="L27" s="520"/>
      <c r="M27" s="520"/>
      <c r="N27" s="520"/>
    </row>
    <row r="28" spans="1:14" x14ac:dyDescent="0.25">
      <c r="A28" s="515"/>
      <c r="B28" s="518"/>
      <c r="C28" s="518"/>
      <c r="D28" s="518"/>
      <c r="E28" s="510" t="s">
        <v>216</v>
      </c>
      <c r="F28" s="511"/>
      <c r="G28" s="511"/>
      <c r="H28" s="511"/>
      <c r="I28" s="511"/>
      <c r="J28" s="511"/>
      <c r="K28" s="511"/>
      <c r="L28" s="511"/>
      <c r="M28" s="511"/>
      <c r="N28" s="512"/>
    </row>
    <row r="29" spans="1:14" x14ac:dyDescent="0.25">
      <c r="A29" s="515"/>
      <c r="B29" s="518"/>
      <c r="C29" s="518"/>
      <c r="D29" s="518"/>
      <c r="E29" s="510" t="s">
        <v>218</v>
      </c>
      <c r="F29" s="511"/>
      <c r="G29" s="511"/>
      <c r="H29" s="511"/>
      <c r="I29" s="511"/>
      <c r="J29" s="511"/>
      <c r="K29" s="511"/>
      <c r="L29" s="511"/>
      <c r="M29" s="511"/>
      <c r="N29" s="512"/>
    </row>
    <row r="30" spans="1:14" ht="179.25" customHeight="1" x14ac:dyDescent="0.25">
      <c r="A30" s="516"/>
      <c r="B30" s="519"/>
      <c r="C30" s="519"/>
      <c r="D30" s="519"/>
      <c r="E30" s="349" t="s">
        <v>176</v>
      </c>
      <c r="F30" s="349" t="s">
        <v>400</v>
      </c>
      <c r="G30" s="374" t="s">
        <v>220</v>
      </c>
      <c r="H30" s="369" t="s">
        <v>438</v>
      </c>
      <c r="I30" s="374" t="s">
        <v>196</v>
      </c>
      <c r="J30" s="349" t="s">
        <v>432</v>
      </c>
      <c r="K30" s="349" t="s">
        <v>439</v>
      </c>
      <c r="L30" s="370" t="s">
        <v>394</v>
      </c>
      <c r="M30" s="349" t="s">
        <v>201</v>
      </c>
      <c r="N30" s="395" t="s">
        <v>202</v>
      </c>
    </row>
    <row r="31" spans="1:14" s="371" customFormat="1" ht="17.25" customHeight="1" x14ac:dyDescent="0.25">
      <c r="A31" s="373">
        <v>1</v>
      </c>
      <c r="B31" s="374">
        <v>2</v>
      </c>
      <c r="C31" s="377">
        <v>3</v>
      </c>
      <c r="D31" s="377">
        <v>4</v>
      </c>
      <c r="E31" s="374">
        <v>4</v>
      </c>
      <c r="F31" s="374">
        <v>5</v>
      </c>
      <c r="G31" s="380">
        <v>7</v>
      </c>
      <c r="H31" s="374">
        <v>6</v>
      </c>
      <c r="I31" s="374">
        <v>9</v>
      </c>
      <c r="J31" s="374">
        <v>7</v>
      </c>
      <c r="K31" s="374">
        <v>8</v>
      </c>
      <c r="L31" s="374">
        <v>9</v>
      </c>
      <c r="M31" s="374">
        <v>10</v>
      </c>
      <c r="N31" s="374">
        <v>11</v>
      </c>
    </row>
    <row r="32" spans="1:14" ht="22.5" customHeight="1" x14ac:dyDescent="0.25">
      <c r="A32" s="303" t="s">
        <v>221</v>
      </c>
      <c r="B32" s="300" t="s">
        <v>222</v>
      </c>
      <c r="C32" s="377" t="s">
        <v>190</v>
      </c>
      <c r="D32" s="377"/>
      <c r="E32" s="304">
        <v>1748200.53</v>
      </c>
      <c r="F32" s="305">
        <v>374989.01</v>
      </c>
      <c r="G32" s="305"/>
      <c r="H32" s="305"/>
      <c r="I32" s="305"/>
      <c r="J32" s="305"/>
      <c r="K32" s="305"/>
      <c r="L32" s="306"/>
      <c r="M32" s="305">
        <v>1096737.19</v>
      </c>
      <c r="N32" s="305">
        <v>276474.33</v>
      </c>
    </row>
    <row r="33" spans="1:16" ht="18.600000000000001" x14ac:dyDescent="0.25">
      <c r="A33" s="303" t="s">
        <v>223</v>
      </c>
      <c r="B33" s="300" t="s">
        <v>224</v>
      </c>
      <c r="C33" s="377" t="s">
        <v>190</v>
      </c>
      <c r="D33" s="377"/>
      <c r="E33" s="304"/>
      <c r="F33" s="306"/>
      <c r="G33" s="306"/>
      <c r="H33" s="306"/>
      <c r="I33" s="306"/>
      <c r="J33" s="306"/>
      <c r="K33" s="306"/>
      <c r="M33" s="306"/>
      <c r="N33" s="306"/>
    </row>
    <row r="34" spans="1:16" s="312" customFormat="1" x14ac:dyDescent="0.25">
      <c r="A34" s="308" t="s">
        <v>225</v>
      </c>
      <c r="B34" s="309" t="s">
        <v>226</v>
      </c>
      <c r="C34" s="309"/>
      <c r="D34" s="309"/>
      <c r="E34" s="311">
        <v>55331773.509999998</v>
      </c>
      <c r="F34" s="311">
        <v>40576300</v>
      </c>
      <c r="G34" s="311"/>
      <c r="H34" s="311">
        <v>1037700</v>
      </c>
      <c r="I34" s="311">
        <v>0</v>
      </c>
      <c r="J34" s="311">
        <v>210600</v>
      </c>
      <c r="K34" s="311">
        <v>271100</v>
      </c>
      <c r="L34" s="311">
        <v>2418100</v>
      </c>
      <c r="M34" s="311">
        <v>4362978</v>
      </c>
      <c r="N34" s="311">
        <v>6454995.5099999998</v>
      </c>
    </row>
    <row r="35" spans="1:16" s="317" customFormat="1" ht="31.2" x14ac:dyDescent="0.25">
      <c r="A35" s="313" t="s">
        <v>227</v>
      </c>
      <c r="B35" s="314" t="s">
        <v>228</v>
      </c>
      <c r="C35" s="314">
        <v>120</v>
      </c>
      <c r="D35" s="314"/>
      <c r="E35" s="315">
        <v>0</v>
      </c>
      <c r="F35" s="315">
        <v>0</v>
      </c>
      <c r="G35" s="315"/>
      <c r="H35" s="315">
        <v>0</v>
      </c>
      <c r="I35" s="315">
        <v>0</v>
      </c>
      <c r="J35" s="315">
        <v>0</v>
      </c>
      <c r="K35" s="315">
        <v>0</v>
      </c>
      <c r="L35" s="315">
        <v>0</v>
      </c>
      <c r="M35" s="315">
        <v>0</v>
      </c>
      <c r="N35" s="315">
        <v>0</v>
      </c>
    </row>
    <row r="36" spans="1:16" s="320" customFormat="1" ht="17.25" customHeight="1" x14ac:dyDescent="0.25">
      <c r="A36" s="303" t="s">
        <v>182</v>
      </c>
      <c r="B36" s="302"/>
      <c r="C36" s="302"/>
      <c r="D36" s="302"/>
      <c r="E36" s="305">
        <v>0</v>
      </c>
      <c r="F36" s="306"/>
      <c r="G36" s="306"/>
      <c r="H36" s="306"/>
      <c r="I36" s="306"/>
      <c r="J36" s="306"/>
      <c r="K36" s="306"/>
      <c r="L36" s="306"/>
      <c r="M36" s="306"/>
      <c r="N36" s="306"/>
    </row>
    <row r="37" spans="1:16" s="320" customFormat="1" ht="34.5" customHeight="1" x14ac:dyDescent="0.25">
      <c r="A37" s="303" t="s">
        <v>417</v>
      </c>
      <c r="B37" s="302" t="s">
        <v>229</v>
      </c>
      <c r="C37" s="321" t="s">
        <v>402</v>
      </c>
      <c r="D37" s="321" t="s">
        <v>230</v>
      </c>
      <c r="E37" s="305">
        <v>0</v>
      </c>
      <c r="F37" s="306"/>
      <c r="G37" s="306"/>
      <c r="H37" s="305"/>
      <c r="I37" s="305"/>
      <c r="J37" s="305"/>
      <c r="K37" s="305"/>
      <c r="L37" s="305"/>
      <c r="M37" s="305">
        <v>0</v>
      </c>
      <c r="N37" s="305"/>
    </row>
    <row r="38" spans="1:16" s="320" customFormat="1" ht="31.2" x14ac:dyDescent="0.25">
      <c r="A38" s="303" t="s">
        <v>188</v>
      </c>
      <c r="B38" s="302">
        <v>1120</v>
      </c>
      <c r="C38" s="321" t="s">
        <v>402</v>
      </c>
      <c r="D38" s="321"/>
      <c r="E38" s="305"/>
      <c r="F38" s="306"/>
      <c r="G38" s="306"/>
      <c r="H38" s="305"/>
      <c r="I38" s="305"/>
      <c r="J38" s="305"/>
      <c r="K38" s="305"/>
      <c r="L38" s="305"/>
      <c r="M38" s="305"/>
      <c r="N38" s="305"/>
    </row>
    <row r="39" spans="1:16" s="320" customFormat="1" ht="31.2" x14ac:dyDescent="0.25">
      <c r="A39" s="303" t="s">
        <v>189</v>
      </c>
      <c r="B39" s="302">
        <v>1130</v>
      </c>
      <c r="C39" s="321" t="s">
        <v>402</v>
      </c>
      <c r="D39" s="321"/>
      <c r="E39" s="305"/>
      <c r="F39" s="306"/>
      <c r="G39" s="306"/>
      <c r="H39" s="305"/>
      <c r="I39" s="305"/>
      <c r="J39" s="305"/>
      <c r="K39" s="305"/>
      <c r="L39" s="305"/>
      <c r="M39" s="305"/>
      <c r="N39" s="305"/>
    </row>
    <row r="40" spans="1:16" s="327" customFormat="1" ht="16.2" x14ac:dyDescent="0.25">
      <c r="A40" s="313" t="s">
        <v>231</v>
      </c>
      <c r="B40" s="322">
        <v>1200</v>
      </c>
      <c r="C40" s="323" t="s">
        <v>232</v>
      </c>
      <c r="D40" s="323"/>
      <c r="E40" s="315">
        <v>44934571.82</v>
      </c>
      <c r="F40" s="315">
        <v>40576300</v>
      </c>
      <c r="G40" s="315"/>
      <c r="H40" s="315">
        <v>0</v>
      </c>
      <c r="I40" s="315">
        <v>0</v>
      </c>
      <c r="J40" s="315">
        <v>0</v>
      </c>
      <c r="K40" s="315">
        <v>0</v>
      </c>
      <c r="L40" s="315">
        <v>0</v>
      </c>
      <c r="M40" s="315">
        <v>4358271.82</v>
      </c>
      <c r="N40" s="315">
        <v>0</v>
      </c>
    </row>
    <row r="41" spans="1:16" s="330" customFormat="1" ht="15.75" customHeight="1" x14ac:dyDescent="0.25">
      <c r="A41" s="303" t="s">
        <v>182</v>
      </c>
      <c r="B41" s="302"/>
      <c r="C41" s="328"/>
      <c r="D41" s="328"/>
      <c r="E41" s="305">
        <v>0</v>
      </c>
      <c r="F41" s="306"/>
      <c r="G41" s="306"/>
      <c r="H41" s="306"/>
      <c r="I41" s="306"/>
      <c r="J41" s="306"/>
      <c r="K41" s="306"/>
      <c r="L41" s="306"/>
      <c r="M41" s="306"/>
      <c r="N41" s="306"/>
    </row>
    <row r="42" spans="1:16" s="330" customFormat="1" ht="16.2" x14ac:dyDescent="0.25">
      <c r="A42" s="303" t="s">
        <v>418</v>
      </c>
      <c r="B42" s="302">
        <v>1210</v>
      </c>
      <c r="C42" s="321" t="s">
        <v>232</v>
      </c>
      <c r="D42" s="321" t="s">
        <v>232</v>
      </c>
      <c r="E42" s="305">
        <v>40576300</v>
      </c>
      <c r="F42" s="306">
        <v>40576300</v>
      </c>
      <c r="G42" s="306"/>
      <c r="H42" s="306"/>
      <c r="I42" s="306"/>
      <c r="J42" s="306"/>
      <c r="K42" s="306"/>
      <c r="L42" s="306"/>
      <c r="M42" s="306"/>
      <c r="N42" s="397"/>
    </row>
    <row r="43" spans="1:16" ht="31.2" x14ac:dyDescent="0.25">
      <c r="A43" s="303" t="s">
        <v>419</v>
      </c>
      <c r="B43" s="302">
        <v>1220</v>
      </c>
      <c r="C43" s="321" t="s">
        <v>232</v>
      </c>
      <c r="D43" s="321" t="s">
        <v>233</v>
      </c>
      <c r="E43" s="331">
        <v>2515200</v>
      </c>
      <c r="F43" s="331"/>
      <c r="G43" s="331"/>
      <c r="H43" s="331"/>
      <c r="I43" s="331"/>
      <c r="J43" s="331"/>
      <c r="K43" s="331"/>
      <c r="L43" s="331"/>
      <c r="M43" s="331">
        <v>2515200</v>
      </c>
      <c r="N43" s="398"/>
    </row>
    <row r="44" spans="1:16" ht="46.8" x14ac:dyDescent="0.25">
      <c r="A44" s="303" t="s">
        <v>420</v>
      </c>
      <c r="B44" s="302">
        <v>1230</v>
      </c>
      <c r="C44" s="302" t="s">
        <v>232</v>
      </c>
      <c r="D44" s="302">
        <v>135</v>
      </c>
      <c r="E44" s="331">
        <v>1843071.82</v>
      </c>
      <c r="F44" s="331"/>
      <c r="G44" s="331"/>
      <c r="H44" s="331"/>
      <c r="I44" s="331"/>
      <c r="J44" s="331"/>
      <c r="K44" s="331"/>
      <c r="L44" s="331"/>
      <c r="M44" s="420">
        <v>1843071.82</v>
      </c>
      <c r="N44" s="398"/>
      <c r="O44" s="333"/>
      <c r="P44" s="333"/>
    </row>
    <row r="45" spans="1:16" ht="46.8" x14ac:dyDescent="0.25">
      <c r="A45" s="303" t="s">
        <v>191</v>
      </c>
      <c r="B45" s="302">
        <v>1240</v>
      </c>
      <c r="C45" s="302" t="s">
        <v>232</v>
      </c>
      <c r="D45" s="302">
        <v>136</v>
      </c>
      <c r="E45" s="331">
        <v>0</v>
      </c>
      <c r="F45" s="331"/>
      <c r="G45" s="331"/>
      <c r="H45" s="331"/>
      <c r="I45" s="331"/>
      <c r="J45" s="331"/>
      <c r="K45" s="331"/>
      <c r="L45" s="331"/>
      <c r="M45" s="331"/>
      <c r="N45" s="331"/>
    </row>
    <row r="46" spans="1:16" s="317" customFormat="1" x14ac:dyDescent="0.25">
      <c r="A46" s="313" t="s">
        <v>234</v>
      </c>
      <c r="B46" s="322">
        <v>1300</v>
      </c>
      <c r="C46" s="322">
        <v>140</v>
      </c>
      <c r="D46" s="322"/>
      <c r="E46" s="335">
        <v>0</v>
      </c>
      <c r="F46" s="335">
        <v>0</v>
      </c>
      <c r="G46" s="335"/>
      <c r="H46" s="335">
        <v>0</v>
      </c>
      <c r="I46" s="335">
        <v>0</v>
      </c>
      <c r="J46" s="335">
        <v>0</v>
      </c>
      <c r="K46" s="335">
        <v>0</v>
      </c>
      <c r="L46" s="335">
        <v>0</v>
      </c>
      <c r="M46" s="335">
        <v>0</v>
      </c>
      <c r="N46" s="335">
        <v>0</v>
      </c>
    </row>
    <row r="47" spans="1:16" x14ac:dyDescent="0.25">
      <c r="A47" s="337" t="s">
        <v>182</v>
      </c>
      <c r="B47" s="302"/>
      <c r="C47" s="302"/>
      <c r="D47" s="302"/>
      <c r="E47" s="331">
        <v>0</v>
      </c>
      <c r="F47" s="331"/>
      <c r="G47" s="331"/>
      <c r="H47" s="331"/>
      <c r="I47" s="331"/>
      <c r="J47" s="331"/>
      <c r="K47" s="331"/>
      <c r="L47" s="331"/>
      <c r="M47" s="331"/>
      <c r="N47" s="331"/>
    </row>
    <row r="48" spans="1:16" x14ac:dyDescent="0.25">
      <c r="A48" s="337" t="s">
        <v>433</v>
      </c>
      <c r="B48" s="302">
        <v>1310</v>
      </c>
      <c r="C48" s="302">
        <v>140</v>
      </c>
      <c r="D48" s="302"/>
      <c r="E48" s="331">
        <v>0</v>
      </c>
      <c r="F48" s="331"/>
      <c r="G48" s="331"/>
      <c r="H48" s="331"/>
      <c r="I48" s="331"/>
      <c r="J48" s="331"/>
      <c r="K48" s="331"/>
      <c r="L48" s="331"/>
      <c r="M48" s="331"/>
      <c r="N48" s="331"/>
    </row>
    <row r="49" spans="1:14" s="317" customFormat="1" x14ac:dyDescent="0.25">
      <c r="A49" s="313" t="s">
        <v>235</v>
      </c>
      <c r="B49" s="322">
        <v>1400</v>
      </c>
      <c r="C49" s="322">
        <v>150</v>
      </c>
      <c r="D49" s="322"/>
      <c r="E49" s="335">
        <v>10392495.51</v>
      </c>
      <c r="F49" s="335">
        <v>0</v>
      </c>
      <c r="G49" s="335"/>
      <c r="H49" s="335">
        <v>1037700</v>
      </c>
      <c r="I49" s="335">
        <v>0</v>
      </c>
      <c r="J49" s="335">
        <v>210600</v>
      </c>
      <c r="K49" s="335">
        <v>271100</v>
      </c>
      <c r="L49" s="335">
        <v>2418100</v>
      </c>
      <c r="M49" s="335">
        <v>0</v>
      </c>
      <c r="N49" s="335">
        <v>6454995.5099999998</v>
      </c>
    </row>
    <row r="50" spans="1:14" x14ac:dyDescent="0.25">
      <c r="A50" s="303" t="s">
        <v>182</v>
      </c>
      <c r="B50" s="302"/>
      <c r="C50" s="302"/>
      <c r="D50" s="302"/>
      <c r="E50" s="331">
        <v>0</v>
      </c>
      <c r="F50" s="331"/>
      <c r="G50" s="331"/>
      <c r="H50" s="331"/>
      <c r="I50" s="331"/>
      <c r="J50" s="331"/>
      <c r="K50" s="331"/>
      <c r="L50" s="331"/>
      <c r="M50" s="331"/>
      <c r="N50" s="331"/>
    </row>
    <row r="51" spans="1:14" x14ac:dyDescent="0.25">
      <c r="A51" s="303" t="s">
        <v>194</v>
      </c>
      <c r="B51" s="302">
        <v>1410</v>
      </c>
      <c r="C51" s="321" t="s">
        <v>238</v>
      </c>
      <c r="D51" s="321"/>
      <c r="E51" s="331">
        <v>1627600</v>
      </c>
      <c r="F51" s="331"/>
      <c r="G51" s="331"/>
      <c r="H51" s="331">
        <v>1037700</v>
      </c>
      <c r="I51" s="331">
        <v>0</v>
      </c>
      <c r="J51" s="331">
        <v>210600</v>
      </c>
      <c r="K51" s="331">
        <v>271100</v>
      </c>
      <c r="L51" s="423">
        <v>108200</v>
      </c>
      <c r="M51" s="331"/>
      <c r="N51" s="331"/>
    </row>
    <row r="52" spans="1:14" x14ac:dyDescent="0.25">
      <c r="A52" s="303" t="s">
        <v>199</v>
      </c>
      <c r="B52" s="302">
        <v>1420</v>
      </c>
      <c r="C52" s="321" t="s">
        <v>238</v>
      </c>
      <c r="D52" s="321"/>
      <c r="E52" s="331">
        <v>2309900</v>
      </c>
      <c r="F52" s="331"/>
      <c r="G52" s="331"/>
      <c r="H52" s="331"/>
      <c r="I52" s="331"/>
      <c r="J52" s="331"/>
      <c r="K52" s="331"/>
      <c r="L52" s="331">
        <v>2309900</v>
      </c>
      <c r="M52" s="338"/>
      <c r="N52" s="338"/>
    </row>
    <row r="53" spans="1:14" s="320" customFormat="1" x14ac:dyDescent="0.25">
      <c r="A53" s="303" t="s">
        <v>236</v>
      </c>
      <c r="B53" s="302">
        <v>1430</v>
      </c>
      <c r="C53" s="321" t="s">
        <v>238</v>
      </c>
      <c r="D53" s="321"/>
      <c r="E53" s="331">
        <v>6454995.5099999998</v>
      </c>
      <c r="F53" s="331"/>
      <c r="G53" s="331"/>
      <c r="H53" s="331"/>
      <c r="I53" s="331"/>
      <c r="J53" s="331"/>
      <c r="K53" s="331"/>
      <c r="L53" s="331"/>
      <c r="M53" s="331"/>
      <c r="N53" s="331">
        <v>6454995.5099999998</v>
      </c>
    </row>
    <row r="54" spans="1:14" s="317" customFormat="1" x14ac:dyDescent="0.25">
      <c r="A54" s="313" t="s">
        <v>237</v>
      </c>
      <c r="B54" s="322">
        <v>1500</v>
      </c>
      <c r="C54" s="323" t="s">
        <v>392</v>
      </c>
      <c r="D54" s="323"/>
      <c r="E54" s="365">
        <v>0.18</v>
      </c>
      <c r="F54" s="335">
        <v>0</v>
      </c>
      <c r="G54" s="335"/>
      <c r="H54" s="335">
        <v>0</v>
      </c>
      <c r="I54" s="335">
        <v>0</v>
      </c>
      <c r="J54" s="335">
        <v>0</v>
      </c>
      <c r="K54" s="335">
        <v>0</v>
      </c>
      <c r="L54" s="335">
        <v>0</v>
      </c>
      <c r="M54" s="365">
        <v>0.18</v>
      </c>
      <c r="N54" s="335">
        <v>0</v>
      </c>
    </row>
    <row r="55" spans="1:14" s="320" customFormat="1" x14ac:dyDescent="0.25">
      <c r="A55" s="303" t="s">
        <v>182</v>
      </c>
      <c r="B55" s="302"/>
      <c r="C55" s="321" t="s">
        <v>392</v>
      </c>
      <c r="D55" s="321"/>
      <c r="E55" s="366">
        <v>0</v>
      </c>
      <c r="F55" s="331"/>
      <c r="G55" s="331"/>
      <c r="H55" s="338"/>
      <c r="I55" s="338"/>
      <c r="J55" s="338"/>
      <c r="K55" s="338"/>
      <c r="L55" s="338"/>
      <c r="M55" s="367"/>
      <c r="N55" s="338"/>
    </row>
    <row r="56" spans="1:14" s="320" customFormat="1" x14ac:dyDescent="0.25">
      <c r="A56" s="303" t="s">
        <v>433</v>
      </c>
      <c r="B56" s="302"/>
      <c r="C56" s="321"/>
      <c r="D56" s="321"/>
      <c r="E56" s="366"/>
      <c r="F56" s="331"/>
      <c r="G56" s="338"/>
      <c r="H56" s="338"/>
      <c r="I56" s="338"/>
      <c r="J56" s="338"/>
      <c r="K56" s="338"/>
      <c r="L56" s="367"/>
      <c r="M56" s="402">
        <v>0.18</v>
      </c>
      <c r="N56" s="403"/>
    </row>
    <row r="57" spans="1:14" s="317" customFormat="1" x14ac:dyDescent="0.25">
      <c r="A57" s="313" t="s">
        <v>421</v>
      </c>
      <c r="B57" s="322">
        <v>1900</v>
      </c>
      <c r="C57" s="322"/>
      <c r="D57" s="404"/>
      <c r="E57" s="335">
        <v>4706</v>
      </c>
      <c r="F57" s="335">
        <v>0</v>
      </c>
      <c r="G57" s="335">
        <v>0</v>
      </c>
      <c r="H57" s="335">
        <v>0</v>
      </c>
      <c r="I57" s="335">
        <v>0</v>
      </c>
      <c r="J57" s="335">
        <v>0</v>
      </c>
      <c r="K57" s="335">
        <v>0</v>
      </c>
      <c r="L57" s="335">
        <v>0</v>
      </c>
      <c r="M57" s="405">
        <v>4706</v>
      </c>
      <c r="N57" s="335"/>
    </row>
    <row r="58" spans="1:14" s="320" customFormat="1" x14ac:dyDescent="0.25">
      <c r="A58" s="303" t="s">
        <v>182</v>
      </c>
      <c r="B58" s="302"/>
      <c r="C58" s="321"/>
      <c r="D58" s="401"/>
      <c r="E58" s="366"/>
      <c r="F58" s="331"/>
      <c r="G58" s="338"/>
      <c r="H58" s="338"/>
      <c r="I58" s="338"/>
      <c r="J58" s="338"/>
      <c r="K58" s="338"/>
      <c r="L58" s="367"/>
      <c r="M58" s="402"/>
      <c r="N58" s="403"/>
    </row>
    <row r="59" spans="1:14" s="320" customFormat="1" hidden="1" x14ac:dyDescent="0.25">
      <c r="A59" s="303"/>
      <c r="B59" s="302"/>
      <c r="C59" s="321"/>
      <c r="D59" s="401"/>
      <c r="E59" s="366"/>
      <c r="F59" s="331"/>
      <c r="G59" s="338"/>
      <c r="H59" s="338"/>
      <c r="I59" s="338"/>
      <c r="J59" s="338"/>
      <c r="K59" s="338"/>
      <c r="L59" s="367"/>
      <c r="M59" s="402"/>
      <c r="N59" s="403"/>
    </row>
    <row r="60" spans="1:14" s="317" customFormat="1" ht="18" x14ac:dyDescent="0.25">
      <c r="A60" s="313" t="s">
        <v>239</v>
      </c>
      <c r="B60" s="322">
        <v>1980</v>
      </c>
      <c r="C60" s="322" t="s">
        <v>190</v>
      </c>
      <c r="D60" s="322"/>
      <c r="E60" s="335">
        <v>4706</v>
      </c>
      <c r="F60" s="335">
        <v>0</v>
      </c>
      <c r="G60" s="335"/>
      <c r="H60" s="335">
        <v>0</v>
      </c>
      <c r="I60" s="335">
        <v>0</v>
      </c>
      <c r="J60" s="335">
        <v>0</v>
      </c>
      <c r="K60" s="335">
        <v>0</v>
      </c>
      <c r="L60" s="335">
        <v>0</v>
      </c>
      <c r="M60" s="335">
        <v>4706</v>
      </c>
      <c r="N60" s="335">
        <v>0</v>
      </c>
    </row>
    <row r="61" spans="1:14" x14ac:dyDescent="0.25">
      <c r="A61" s="303" t="s">
        <v>187</v>
      </c>
      <c r="B61" s="302"/>
      <c r="C61" s="302"/>
      <c r="D61" s="302"/>
      <c r="E61" s="306">
        <v>0</v>
      </c>
      <c r="F61" s="305"/>
      <c r="G61" s="305"/>
      <c r="H61" s="305"/>
      <c r="I61" s="305"/>
      <c r="J61" s="305"/>
      <c r="K61" s="305"/>
      <c r="L61" s="305"/>
      <c r="M61" s="305"/>
      <c r="N61" s="305"/>
    </row>
    <row r="62" spans="1:14" s="320" customFormat="1" ht="36.75" customHeight="1" x14ac:dyDescent="0.25">
      <c r="A62" s="303" t="s">
        <v>240</v>
      </c>
      <c r="B62" s="302">
        <v>1981</v>
      </c>
      <c r="C62" s="321" t="s">
        <v>241</v>
      </c>
      <c r="D62" s="321"/>
      <c r="E62" s="347">
        <v>4706</v>
      </c>
      <c r="F62" s="340"/>
      <c r="G62" s="340"/>
      <c r="H62" s="340"/>
      <c r="I62" s="340"/>
      <c r="J62" s="340"/>
      <c r="K62" s="340"/>
      <c r="L62" s="340"/>
      <c r="M62" s="340">
        <v>4706</v>
      </c>
      <c r="N62" s="340"/>
    </row>
    <row r="63" spans="1:14" x14ac:dyDescent="0.25">
      <c r="A63" s="303"/>
      <c r="B63" s="302"/>
      <c r="C63" s="302"/>
      <c r="D63" s="302"/>
      <c r="E63" s="306">
        <v>0</v>
      </c>
      <c r="F63" s="305"/>
      <c r="G63" s="305"/>
      <c r="H63" s="305"/>
      <c r="I63" s="305"/>
      <c r="J63" s="305"/>
      <c r="K63" s="305"/>
      <c r="L63" s="305"/>
      <c r="M63" s="305"/>
      <c r="N63" s="305"/>
    </row>
    <row r="64" spans="1:14" s="312" customFormat="1" x14ac:dyDescent="0.25">
      <c r="A64" s="308" t="s">
        <v>242</v>
      </c>
      <c r="B64" s="341">
        <v>2000</v>
      </c>
      <c r="C64" s="341" t="s">
        <v>190</v>
      </c>
      <c r="D64" s="341"/>
      <c r="E64" s="342">
        <v>56984891.539999999</v>
      </c>
      <c r="F64" s="342">
        <v>40951289.009999998</v>
      </c>
      <c r="G64" s="342"/>
      <c r="H64" s="342">
        <v>1037700</v>
      </c>
      <c r="I64" s="342">
        <v>0</v>
      </c>
      <c r="J64" s="342">
        <v>210600</v>
      </c>
      <c r="K64" s="342">
        <v>271100</v>
      </c>
      <c r="L64" s="342">
        <v>2418100</v>
      </c>
      <c r="M64" s="342">
        <v>5365066.1900000004</v>
      </c>
      <c r="N64" s="342">
        <v>6731036.3399999999</v>
      </c>
    </row>
    <row r="65" spans="1:14" x14ac:dyDescent="0.25">
      <c r="A65" s="303" t="s">
        <v>182</v>
      </c>
      <c r="B65" s="302"/>
      <c r="C65" s="302"/>
      <c r="D65" s="302"/>
      <c r="E65" s="305"/>
      <c r="F65" s="305"/>
      <c r="G65" s="305"/>
      <c r="H65" s="305"/>
      <c r="I65" s="305"/>
      <c r="J65" s="305"/>
      <c r="K65" s="305"/>
      <c r="L65" s="305"/>
      <c r="M65" s="305"/>
      <c r="N65" s="305"/>
    </row>
    <row r="66" spans="1:14" s="317" customFormat="1" x14ac:dyDescent="0.25">
      <c r="A66" s="313" t="s">
        <v>243</v>
      </c>
      <c r="B66" s="322">
        <v>2100</v>
      </c>
      <c r="C66" s="322" t="s">
        <v>190</v>
      </c>
      <c r="D66" s="322"/>
      <c r="E66" s="324">
        <v>38133194.439999998</v>
      </c>
      <c r="F66" s="324">
        <v>35467715.869999997</v>
      </c>
      <c r="G66" s="324"/>
      <c r="H66" s="324">
        <v>971000</v>
      </c>
      <c r="I66" s="324">
        <v>0</v>
      </c>
      <c r="J66" s="324">
        <v>0</v>
      </c>
      <c r="K66" s="324">
        <v>0</v>
      </c>
      <c r="L66" s="324">
        <v>0</v>
      </c>
      <c r="M66" s="324">
        <v>287900</v>
      </c>
      <c r="N66" s="324">
        <v>1406578.57</v>
      </c>
    </row>
    <row r="67" spans="1:14" ht="20.25" customHeight="1" x14ac:dyDescent="0.25">
      <c r="A67" s="303" t="s">
        <v>182</v>
      </c>
      <c r="B67" s="302"/>
      <c r="C67" s="302"/>
      <c r="D67" s="302"/>
      <c r="E67" s="305"/>
      <c r="F67" s="305"/>
      <c r="G67" s="305"/>
      <c r="H67" s="305"/>
      <c r="I67" s="305"/>
      <c r="J67" s="305"/>
      <c r="K67" s="305"/>
      <c r="L67" s="305"/>
      <c r="M67" s="305"/>
      <c r="N67" s="305"/>
    </row>
    <row r="68" spans="1:14" ht="20.25" customHeight="1" x14ac:dyDescent="0.25">
      <c r="A68" s="303" t="s">
        <v>244</v>
      </c>
      <c r="B68" s="302">
        <v>2110</v>
      </c>
      <c r="C68" s="302">
        <v>111</v>
      </c>
      <c r="D68" s="302"/>
      <c r="E68" s="305">
        <v>27551113.199999999</v>
      </c>
      <c r="F68" s="305">
        <v>27396230.440000001</v>
      </c>
      <c r="G68" s="305"/>
      <c r="H68" s="305"/>
      <c r="I68" s="305"/>
      <c r="J68" s="305"/>
      <c r="K68" s="305"/>
      <c r="L68" s="305"/>
      <c r="M68" s="305">
        <v>0</v>
      </c>
      <c r="N68" s="305">
        <v>154882.76</v>
      </c>
    </row>
    <row r="69" spans="1:14" ht="33.75" customHeight="1" x14ac:dyDescent="0.25">
      <c r="A69" s="303" t="s">
        <v>245</v>
      </c>
      <c r="B69" s="302">
        <v>2120</v>
      </c>
      <c r="C69" s="302">
        <v>112</v>
      </c>
      <c r="D69" s="302"/>
      <c r="E69" s="305">
        <v>1345478</v>
      </c>
      <c r="F69" s="305">
        <v>48670</v>
      </c>
      <c r="G69" s="305"/>
      <c r="H69" s="305">
        <v>971000</v>
      </c>
      <c r="I69" s="305"/>
      <c r="J69" s="305"/>
      <c r="K69" s="305"/>
      <c r="L69" s="305"/>
      <c r="M69" s="305">
        <v>282600</v>
      </c>
      <c r="N69" s="305">
        <v>43208</v>
      </c>
    </row>
    <row r="70" spans="1:14" ht="31.2" x14ac:dyDescent="0.25">
      <c r="A70" s="303" t="s">
        <v>246</v>
      </c>
      <c r="B70" s="302">
        <v>2130</v>
      </c>
      <c r="C70" s="302">
        <v>113</v>
      </c>
      <c r="D70" s="302"/>
      <c r="E70" s="305">
        <v>1167013.21</v>
      </c>
      <c r="F70" s="305">
        <v>0</v>
      </c>
      <c r="G70" s="305"/>
      <c r="H70" s="305"/>
      <c r="I70" s="305"/>
      <c r="J70" s="305">
        <v>0</v>
      </c>
      <c r="K70" s="305"/>
      <c r="L70" s="305"/>
      <c r="M70" s="305">
        <v>5300</v>
      </c>
      <c r="N70" s="305">
        <v>1161713.21</v>
      </c>
    </row>
    <row r="71" spans="1:14" ht="31.2" x14ac:dyDescent="0.25">
      <c r="A71" s="303" t="s">
        <v>247</v>
      </c>
      <c r="B71" s="302">
        <v>2140</v>
      </c>
      <c r="C71" s="302">
        <v>119</v>
      </c>
      <c r="D71" s="302"/>
      <c r="E71" s="305">
        <v>8069590.0300000003</v>
      </c>
      <c r="F71" s="421">
        <v>8022815.4299999997</v>
      </c>
      <c r="G71" s="421"/>
      <c r="H71" s="305"/>
      <c r="I71" s="305"/>
      <c r="J71" s="305"/>
      <c r="K71" s="305"/>
      <c r="L71" s="305"/>
      <c r="M71" s="305">
        <v>0</v>
      </c>
      <c r="N71" s="305">
        <v>46774.6</v>
      </c>
    </row>
    <row r="72" spans="1:14" x14ac:dyDescent="0.25">
      <c r="A72" s="303" t="s">
        <v>182</v>
      </c>
      <c r="B72" s="302"/>
      <c r="C72" s="302"/>
      <c r="D72" s="302"/>
      <c r="E72" s="305"/>
      <c r="F72" s="305"/>
      <c r="G72" s="305"/>
      <c r="H72" s="305"/>
      <c r="I72" s="305"/>
      <c r="J72" s="305"/>
      <c r="K72" s="305"/>
      <c r="L72" s="305"/>
      <c r="M72" s="305"/>
      <c r="N72" s="305"/>
    </row>
    <row r="73" spans="1:14" x14ac:dyDescent="0.25">
      <c r="A73" s="303" t="s">
        <v>248</v>
      </c>
      <c r="B73" s="302">
        <v>2141</v>
      </c>
      <c r="C73" s="302">
        <v>119</v>
      </c>
      <c r="D73" s="302"/>
      <c r="E73" s="305">
        <v>8022815.4299999997</v>
      </c>
      <c r="F73" s="305">
        <v>8022815.4299999997</v>
      </c>
      <c r="G73" s="305"/>
      <c r="H73" s="305"/>
      <c r="I73" s="305"/>
      <c r="J73" s="305"/>
      <c r="K73" s="305"/>
      <c r="L73" s="305"/>
      <c r="M73" s="305">
        <v>0</v>
      </c>
      <c r="N73" s="305"/>
    </row>
    <row r="74" spans="1:14" x14ac:dyDescent="0.25">
      <c r="A74" s="303" t="s">
        <v>249</v>
      </c>
      <c r="B74" s="302">
        <v>2142</v>
      </c>
      <c r="C74" s="302">
        <v>119</v>
      </c>
      <c r="D74" s="302"/>
      <c r="E74" s="305"/>
      <c r="F74" s="305"/>
      <c r="G74" s="305"/>
      <c r="H74" s="305"/>
      <c r="I74" s="305"/>
      <c r="J74" s="305"/>
      <c r="K74" s="305"/>
      <c r="L74" s="305"/>
      <c r="M74" s="305"/>
      <c r="N74" s="305"/>
    </row>
    <row r="75" spans="1:14" s="317" customFormat="1" x14ac:dyDescent="0.25">
      <c r="A75" s="313" t="s">
        <v>250</v>
      </c>
      <c r="B75" s="322">
        <v>2200</v>
      </c>
      <c r="C75" s="322">
        <v>300</v>
      </c>
      <c r="D75" s="322"/>
      <c r="E75" s="324">
        <v>66700</v>
      </c>
      <c r="F75" s="324">
        <v>0</v>
      </c>
      <c r="G75" s="324"/>
      <c r="H75" s="324">
        <v>66700</v>
      </c>
      <c r="I75" s="324">
        <v>0</v>
      </c>
      <c r="J75" s="324">
        <v>0</v>
      </c>
      <c r="K75" s="324">
        <v>0</v>
      </c>
      <c r="L75" s="324">
        <v>0</v>
      </c>
      <c r="M75" s="324">
        <v>0</v>
      </c>
      <c r="N75" s="324">
        <v>0</v>
      </c>
    </row>
    <row r="76" spans="1:14" x14ac:dyDescent="0.25">
      <c r="A76" s="303" t="s">
        <v>182</v>
      </c>
      <c r="B76" s="302"/>
      <c r="C76" s="302"/>
      <c r="D76" s="302"/>
      <c r="E76" s="305"/>
      <c r="F76" s="305"/>
      <c r="G76" s="305"/>
      <c r="H76" s="305"/>
      <c r="I76" s="305"/>
      <c r="J76" s="305"/>
      <c r="K76" s="305"/>
      <c r="L76" s="305"/>
      <c r="M76" s="305"/>
      <c r="N76" s="305"/>
    </row>
    <row r="77" spans="1:14" ht="31.2" x14ac:dyDescent="0.25">
      <c r="A77" s="303" t="s">
        <v>251</v>
      </c>
      <c r="B77" s="302">
        <v>2210</v>
      </c>
      <c r="C77" s="302">
        <v>320</v>
      </c>
      <c r="D77" s="302"/>
      <c r="E77" s="305">
        <v>66700</v>
      </c>
      <c r="F77" s="305">
        <v>0</v>
      </c>
      <c r="G77" s="305"/>
      <c r="H77" s="305">
        <v>66700</v>
      </c>
      <c r="I77" s="305">
        <v>0</v>
      </c>
      <c r="J77" s="305">
        <v>0</v>
      </c>
      <c r="K77" s="305">
        <v>0</v>
      </c>
      <c r="L77" s="305">
        <v>0</v>
      </c>
      <c r="M77" s="305">
        <v>0</v>
      </c>
      <c r="N77" s="305">
        <v>0</v>
      </c>
    </row>
    <row r="78" spans="1:14" ht="50.25" customHeight="1" x14ac:dyDescent="0.25">
      <c r="A78" s="303" t="s">
        <v>252</v>
      </c>
      <c r="B78" s="302">
        <v>2211</v>
      </c>
      <c r="C78" s="302">
        <v>321</v>
      </c>
      <c r="D78" s="302"/>
      <c r="E78" s="305">
        <v>66700</v>
      </c>
      <c r="F78" s="305"/>
      <c r="G78" s="305"/>
      <c r="H78" s="305">
        <v>66700</v>
      </c>
      <c r="I78" s="305"/>
      <c r="J78" s="305"/>
      <c r="K78" s="305"/>
      <c r="L78" s="305"/>
      <c r="M78" s="305"/>
      <c r="N78" s="305"/>
    </row>
    <row r="79" spans="1:14" ht="31.2" x14ac:dyDescent="0.25">
      <c r="A79" s="303" t="s">
        <v>422</v>
      </c>
      <c r="B79" s="302">
        <v>2220</v>
      </c>
      <c r="C79" s="302">
        <v>340</v>
      </c>
      <c r="D79" s="302"/>
      <c r="E79" s="305"/>
      <c r="F79" s="305"/>
      <c r="G79" s="305"/>
      <c r="H79" s="396"/>
      <c r="I79" s="305"/>
      <c r="J79" s="305"/>
      <c r="K79" s="305"/>
      <c r="L79" s="305"/>
      <c r="M79" s="305"/>
      <c r="N79" s="305"/>
    </row>
    <row r="80" spans="1:14" ht="46.8" x14ac:dyDescent="0.25">
      <c r="A80" s="303" t="s">
        <v>423</v>
      </c>
      <c r="B80" s="302">
        <v>2230</v>
      </c>
      <c r="C80" s="302">
        <v>350</v>
      </c>
      <c r="D80" s="302"/>
      <c r="E80" s="305"/>
      <c r="F80" s="305"/>
      <c r="G80" s="305"/>
      <c r="H80" s="396"/>
      <c r="I80" s="305"/>
      <c r="J80" s="305"/>
      <c r="K80" s="305"/>
      <c r="L80" s="305"/>
      <c r="M80" s="305"/>
      <c r="N80" s="305"/>
    </row>
    <row r="81" spans="1:14" x14ac:dyDescent="0.25">
      <c r="A81" s="303" t="s">
        <v>424</v>
      </c>
      <c r="B81" s="302">
        <v>2240</v>
      </c>
      <c r="C81" s="302">
        <v>360</v>
      </c>
      <c r="D81" s="302"/>
      <c r="E81" s="305"/>
      <c r="F81" s="305"/>
      <c r="G81" s="305"/>
      <c r="H81" s="396"/>
      <c r="I81" s="305"/>
      <c r="J81" s="305"/>
      <c r="K81" s="305"/>
      <c r="L81" s="305"/>
      <c r="M81" s="305"/>
      <c r="N81" s="305"/>
    </row>
    <row r="82" spans="1:14" s="317" customFormat="1" x14ac:dyDescent="0.25">
      <c r="A82" s="313" t="s">
        <v>253</v>
      </c>
      <c r="B82" s="322">
        <v>2300</v>
      </c>
      <c r="C82" s="322">
        <v>850</v>
      </c>
      <c r="D82" s="322"/>
      <c r="E82" s="324">
        <v>0</v>
      </c>
      <c r="F82" s="324">
        <v>0</v>
      </c>
      <c r="G82" s="324"/>
      <c r="H82" s="324">
        <v>0</v>
      </c>
      <c r="I82" s="324">
        <v>0</v>
      </c>
      <c r="J82" s="324">
        <v>0</v>
      </c>
      <c r="K82" s="324">
        <v>0</v>
      </c>
      <c r="L82" s="324">
        <v>0</v>
      </c>
      <c r="M82" s="324">
        <v>0</v>
      </c>
      <c r="N82" s="324">
        <v>0</v>
      </c>
    </row>
    <row r="83" spans="1:14" ht="31.2" x14ac:dyDescent="0.25">
      <c r="A83" s="303" t="s">
        <v>254</v>
      </c>
      <c r="B83" s="302">
        <v>2310</v>
      </c>
      <c r="C83" s="302">
        <v>851</v>
      </c>
      <c r="D83" s="302"/>
      <c r="E83" s="305">
        <v>0</v>
      </c>
      <c r="F83" s="305"/>
      <c r="G83" s="305"/>
      <c r="H83" s="305"/>
      <c r="I83" s="305"/>
      <c r="J83" s="305"/>
      <c r="K83" s="305"/>
      <c r="L83" s="305"/>
      <c r="M83" s="305"/>
      <c r="N83" s="305"/>
    </row>
    <row r="84" spans="1:14" ht="31.2" x14ac:dyDescent="0.25">
      <c r="A84" s="303" t="s">
        <v>255</v>
      </c>
      <c r="B84" s="302">
        <v>2320</v>
      </c>
      <c r="C84" s="302">
        <v>852</v>
      </c>
      <c r="D84" s="302"/>
      <c r="E84" s="305">
        <v>0</v>
      </c>
      <c r="F84" s="305"/>
      <c r="G84" s="305"/>
      <c r="H84" s="305"/>
      <c r="I84" s="305"/>
      <c r="J84" s="305"/>
      <c r="K84" s="305"/>
      <c r="L84" s="305"/>
      <c r="M84" s="305"/>
      <c r="N84" s="305"/>
    </row>
    <row r="85" spans="1:14" x14ac:dyDescent="0.25">
      <c r="A85" s="303" t="s">
        <v>256</v>
      </c>
      <c r="B85" s="302">
        <v>2330</v>
      </c>
      <c r="C85" s="302">
        <v>853</v>
      </c>
      <c r="D85" s="302"/>
      <c r="E85" s="305">
        <v>0</v>
      </c>
      <c r="F85" s="305"/>
      <c r="G85" s="305"/>
      <c r="H85" s="305"/>
      <c r="I85" s="305"/>
      <c r="J85" s="305"/>
      <c r="K85" s="305"/>
      <c r="L85" s="305"/>
      <c r="M85" s="305">
        <v>0</v>
      </c>
      <c r="N85" s="305"/>
    </row>
    <row r="86" spans="1:14" s="317" customFormat="1" x14ac:dyDescent="0.25">
      <c r="A86" s="313" t="s">
        <v>257</v>
      </c>
      <c r="B86" s="322">
        <v>2400</v>
      </c>
      <c r="C86" s="322" t="s">
        <v>190</v>
      </c>
      <c r="D86" s="322"/>
      <c r="E86" s="324">
        <v>0</v>
      </c>
      <c r="F86" s="324">
        <v>0</v>
      </c>
      <c r="G86" s="324"/>
      <c r="H86" s="324">
        <v>0</v>
      </c>
      <c r="I86" s="324">
        <v>0</v>
      </c>
      <c r="J86" s="324">
        <v>0</v>
      </c>
      <c r="K86" s="324">
        <v>0</v>
      </c>
      <c r="L86" s="324">
        <v>0</v>
      </c>
      <c r="M86" s="324">
        <v>0</v>
      </c>
      <c r="N86" s="324">
        <v>0</v>
      </c>
    </row>
    <row r="87" spans="1:14" ht="39" customHeight="1" x14ac:dyDescent="0.25">
      <c r="A87" s="363" t="s">
        <v>386</v>
      </c>
      <c r="B87" s="302">
        <v>2410</v>
      </c>
      <c r="C87" s="302">
        <v>613</v>
      </c>
      <c r="D87" s="302"/>
      <c r="E87" s="305">
        <v>0</v>
      </c>
      <c r="F87" s="305"/>
      <c r="G87" s="305"/>
      <c r="H87" s="305"/>
      <c r="I87" s="305"/>
      <c r="J87" s="305"/>
      <c r="K87" s="305"/>
      <c r="L87" s="305"/>
      <c r="M87" s="305"/>
      <c r="N87" s="305"/>
    </row>
    <row r="88" spans="1:14" x14ac:dyDescent="0.25">
      <c r="A88" s="303" t="s">
        <v>387</v>
      </c>
      <c r="B88" s="302">
        <v>2420</v>
      </c>
      <c r="C88" s="302">
        <v>623</v>
      </c>
      <c r="D88" s="302"/>
      <c r="E88" s="305">
        <v>0</v>
      </c>
      <c r="F88" s="305"/>
      <c r="G88" s="305"/>
      <c r="H88" s="305"/>
      <c r="I88" s="305"/>
      <c r="J88" s="305"/>
      <c r="K88" s="305"/>
      <c r="L88" s="305"/>
      <c r="M88" s="305"/>
      <c r="N88" s="305"/>
    </row>
    <row r="89" spans="1:14" ht="31.2" x14ac:dyDescent="0.25">
      <c r="A89" s="303" t="s">
        <v>425</v>
      </c>
      <c r="B89" s="302">
        <v>2430</v>
      </c>
      <c r="C89" s="302">
        <v>634</v>
      </c>
      <c r="D89" s="407">
        <v>634</v>
      </c>
      <c r="E89" s="305"/>
      <c r="F89" s="305"/>
      <c r="G89" s="305"/>
      <c r="H89" s="305"/>
      <c r="I89" s="305"/>
      <c r="J89" s="305"/>
      <c r="K89" s="305"/>
      <c r="L89" s="305"/>
      <c r="M89" s="406"/>
      <c r="N89" s="305"/>
    </row>
    <row r="90" spans="1:14" x14ac:dyDescent="0.25">
      <c r="A90" s="303" t="s">
        <v>426</v>
      </c>
      <c r="B90" s="302">
        <v>2440</v>
      </c>
      <c r="C90" s="302">
        <v>810</v>
      </c>
      <c r="D90" s="407">
        <v>810</v>
      </c>
      <c r="E90" s="305"/>
      <c r="F90" s="305"/>
      <c r="G90" s="305"/>
      <c r="H90" s="305"/>
      <c r="I90" s="305"/>
      <c r="J90" s="305"/>
      <c r="K90" s="305"/>
      <c r="L90" s="305"/>
      <c r="M90" s="406"/>
      <c r="N90" s="305"/>
    </row>
    <row r="91" spans="1:14" x14ac:dyDescent="0.25">
      <c r="A91" s="303" t="s">
        <v>258</v>
      </c>
      <c r="B91" s="302">
        <v>2450</v>
      </c>
      <c r="C91" s="302">
        <v>862</v>
      </c>
      <c r="D91" s="407">
        <v>862</v>
      </c>
      <c r="E91" s="305"/>
      <c r="F91" s="305"/>
      <c r="G91" s="305"/>
      <c r="H91" s="305"/>
      <c r="I91" s="305"/>
      <c r="J91" s="305"/>
      <c r="K91" s="305"/>
      <c r="L91" s="305"/>
      <c r="M91" s="406"/>
      <c r="N91" s="305"/>
    </row>
    <row r="92" spans="1:14" ht="45.75" customHeight="1" x14ac:dyDescent="0.25">
      <c r="A92" s="303" t="s">
        <v>427</v>
      </c>
      <c r="B92" s="302">
        <v>2460</v>
      </c>
      <c r="C92" s="302">
        <v>863</v>
      </c>
      <c r="D92" s="407">
        <v>863</v>
      </c>
      <c r="E92" s="305"/>
      <c r="F92" s="305"/>
      <c r="G92" s="305"/>
      <c r="H92" s="305"/>
      <c r="I92" s="305"/>
      <c r="J92" s="305"/>
      <c r="K92" s="305"/>
      <c r="L92" s="305"/>
      <c r="M92" s="406"/>
      <c r="N92" s="305"/>
    </row>
    <row r="93" spans="1:14" s="317" customFormat="1" x14ac:dyDescent="0.25">
      <c r="A93" s="313" t="s">
        <v>259</v>
      </c>
      <c r="B93" s="322">
        <v>2500</v>
      </c>
      <c r="C93" s="322" t="s">
        <v>190</v>
      </c>
      <c r="D93" s="322"/>
      <c r="E93" s="324">
        <v>0</v>
      </c>
      <c r="F93" s="324">
        <v>0</v>
      </c>
      <c r="G93" s="324"/>
      <c r="H93" s="324">
        <v>0</v>
      </c>
      <c r="I93" s="324">
        <v>0</v>
      </c>
      <c r="J93" s="324">
        <v>0</v>
      </c>
      <c r="K93" s="324">
        <v>0</v>
      </c>
      <c r="L93" s="324">
        <v>0</v>
      </c>
      <c r="M93" s="324">
        <v>0</v>
      </c>
      <c r="N93" s="324">
        <v>0</v>
      </c>
    </row>
    <row r="94" spans="1:14" ht="31.2" x14ac:dyDescent="0.25">
      <c r="A94" s="303" t="s">
        <v>260</v>
      </c>
      <c r="B94" s="302">
        <v>252</v>
      </c>
      <c r="C94" s="302">
        <v>831</v>
      </c>
      <c r="D94" s="302"/>
      <c r="E94" s="305">
        <v>0</v>
      </c>
      <c r="F94" s="305"/>
      <c r="G94" s="305"/>
      <c r="H94" s="305"/>
      <c r="I94" s="305"/>
      <c r="J94" s="305"/>
      <c r="K94" s="305"/>
      <c r="L94" s="305"/>
      <c r="M94" s="305"/>
      <c r="N94" s="305"/>
    </row>
    <row r="95" spans="1:14" s="317" customFormat="1" ht="18" x14ac:dyDescent="0.25">
      <c r="A95" s="313" t="s">
        <v>261</v>
      </c>
      <c r="B95" s="322">
        <v>2600</v>
      </c>
      <c r="C95" s="322" t="s">
        <v>190</v>
      </c>
      <c r="D95" s="322"/>
      <c r="E95" s="324">
        <v>18784997.100000001</v>
      </c>
      <c r="F95" s="324">
        <v>5483573.1399999997</v>
      </c>
      <c r="G95" s="324"/>
      <c r="H95" s="324">
        <v>0</v>
      </c>
      <c r="I95" s="324">
        <v>0</v>
      </c>
      <c r="J95" s="324">
        <v>210600</v>
      </c>
      <c r="K95" s="324">
        <v>271100</v>
      </c>
      <c r="L95" s="324">
        <v>2418100</v>
      </c>
      <c r="M95" s="324">
        <v>5077166.1900000004</v>
      </c>
      <c r="N95" s="324">
        <v>5324457.7699999996</v>
      </c>
    </row>
    <row r="96" spans="1:14" ht="31.2" x14ac:dyDescent="0.25">
      <c r="A96" s="303" t="s">
        <v>262</v>
      </c>
      <c r="B96" s="302">
        <v>2610</v>
      </c>
      <c r="C96" s="302">
        <v>241</v>
      </c>
      <c r="D96" s="302"/>
      <c r="E96" s="305">
        <v>0</v>
      </c>
      <c r="F96" s="305"/>
      <c r="G96" s="305"/>
      <c r="H96" s="305"/>
      <c r="I96" s="305"/>
      <c r="J96" s="305"/>
      <c r="K96" s="305"/>
      <c r="L96" s="305"/>
      <c r="M96" s="305"/>
      <c r="N96" s="305"/>
    </row>
    <row r="97" spans="1:14" ht="31.2" x14ac:dyDescent="0.25">
      <c r="A97" s="303" t="s">
        <v>263</v>
      </c>
      <c r="B97" s="302">
        <v>2620</v>
      </c>
      <c r="C97" s="302">
        <v>242</v>
      </c>
      <c r="D97" s="302"/>
      <c r="E97" s="305">
        <v>0</v>
      </c>
      <c r="F97" s="305"/>
      <c r="G97" s="305"/>
      <c r="H97" s="305"/>
      <c r="I97" s="305"/>
      <c r="J97" s="305"/>
      <c r="K97" s="305"/>
      <c r="L97" s="305"/>
      <c r="M97" s="305"/>
      <c r="N97" s="305"/>
    </row>
    <row r="98" spans="1:14" ht="31.2" x14ac:dyDescent="0.25">
      <c r="A98" s="303" t="s">
        <v>264</v>
      </c>
      <c r="B98" s="302">
        <v>2630</v>
      </c>
      <c r="C98" s="302">
        <v>243</v>
      </c>
      <c r="D98" s="302"/>
      <c r="E98" s="305">
        <v>0</v>
      </c>
      <c r="F98" s="305"/>
      <c r="G98" s="305"/>
      <c r="H98" s="305"/>
      <c r="I98" s="305"/>
      <c r="J98" s="305"/>
      <c r="K98" s="305"/>
      <c r="L98" s="305"/>
      <c r="M98" s="305"/>
      <c r="N98" s="305"/>
    </row>
    <row r="99" spans="1:14" ht="21" customHeight="1" x14ac:dyDescent="0.25">
      <c r="A99" s="303" t="s">
        <v>265</v>
      </c>
      <c r="B99" s="302">
        <v>2640</v>
      </c>
      <c r="C99" s="302">
        <v>244</v>
      </c>
      <c r="D99" s="302"/>
      <c r="E99" s="305">
        <v>17416208.280000001</v>
      </c>
      <c r="F99" s="305">
        <v>4323052.87</v>
      </c>
      <c r="G99" s="305"/>
      <c r="H99" s="305"/>
      <c r="I99" s="305"/>
      <c r="J99" s="305">
        <v>210600</v>
      </c>
      <c r="K99" s="305">
        <v>271100</v>
      </c>
      <c r="L99" s="305">
        <v>2418100</v>
      </c>
      <c r="M99" s="305">
        <v>4868897.6399999997</v>
      </c>
      <c r="N99" s="305">
        <v>5324457.7699999996</v>
      </c>
    </row>
    <row r="100" spans="1:14" ht="31.2" x14ac:dyDescent="0.25">
      <c r="A100" s="303" t="s">
        <v>428</v>
      </c>
      <c r="B100" s="302">
        <v>2650</v>
      </c>
      <c r="C100" s="302">
        <v>246</v>
      </c>
      <c r="D100" s="407">
        <v>246</v>
      </c>
      <c r="E100" s="305">
        <v>0</v>
      </c>
      <c r="F100" s="305"/>
      <c r="G100" s="305"/>
      <c r="H100" s="305"/>
      <c r="I100" s="305"/>
      <c r="J100" s="305"/>
      <c r="K100" s="305"/>
      <c r="L100" s="305"/>
      <c r="M100" s="406"/>
      <c r="N100" s="305"/>
    </row>
    <row r="101" spans="1:14" ht="23.25" customHeight="1" x14ac:dyDescent="0.25">
      <c r="A101" s="303" t="s">
        <v>403</v>
      </c>
      <c r="B101" s="302">
        <v>2660</v>
      </c>
      <c r="C101" s="302">
        <v>247</v>
      </c>
      <c r="D101" s="302"/>
      <c r="E101" s="305">
        <v>1368788.82</v>
      </c>
      <c r="F101" s="305">
        <v>1160520.27</v>
      </c>
      <c r="G101" s="305"/>
      <c r="H101" s="305"/>
      <c r="I101" s="305"/>
      <c r="J101" s="305"/>
      <c r="K101" s="305"/>
      <c r="L101" s="305"/>
      <c r="M101" s="305">
        <v>208268.55</v>
      </c>
      <c r="N101" s="305"/>
    </row>
    <row r="102" spans="1:14" x14ac:dyDescent="0.25">
      <c r="A102" s="303" t="s">
        <v>266</v>
      </c>
      <c r="B102" s="302">
        <v>2700</v>
      </c>
      <c r="C102" s="302">
        <v>400</v>
      </c>
      <c r="D102" s="302"/>
      <c r="E102" s="305">
        <v>0</v>
      </c>
      <c r="F102" s="305"/>
      <c r="G102" s="305"/>
      <c r="H102" s="305"/>
      <c r="I102" s="305"/>
      <c r="J102" s="305"/>
      <c r="K102" s="305"/>
      <c r="L102" s="305"/>
      <c r="M102" s="305"/>
      <c r="N102" s="305"/>
    </row>
    <row r="103" spans="1:14" ht="55.5" customHeight="1" x14ac:dyDescent="0.25">
      <c r="A103" s="345" t="s">
        <v>267</v>
      </c>
      <c r="B103" s="302">
        <v>2710</v>
      </c>
      <c r="C103" s="302">
        <v>406</v>
      </c>
      <c r="D103" s="302"/>
      <c r="E103" s="305"/>
      <c r="F103" s="305"/>
      <c r="G103" s="305"/>
      <c r="H103" s="305"/>
      <c r="I103" s="305"/>
      <c r="J103" s="305"/>
      <c r="K103" s="305"/>
      <c r="L103" s="305"/>
      <c r="M103" s="305"/>
      <c r="N103" s="305"/>
    </row>
    <row r="104" spans="1:14" ht="31.2" x14ac:dyDescent="0.25">
      <c r="A104" s="303" t="s">
        <v>268</v>
      </c>
      <c r="B104" s="302">
        <v>2720</v>
      </c>
      <c r="C104" s="302">
        <v>407</v>
      </c>
      <c r="D104" s="302"/>
      <c r="E104" s="305"/>
      <c r="F104" s="305"/>
      <c r="G104" s="305"/>
      <c r="H104" s="305"/>
      <c r="I104" s="305"/>
      <c r="J104" s="305"/>
      <c r="K104" s="305"/>
      <c r="L104" s="305"/>
      <c r="M104" s="305"/>
      <c r="N104" s="305"/>
    </row>
    <row r="105" spans="1:14" s="317" customFormat="1" ht="30.75" customHeight="1" x14ac:dyDescent="0.25">
      <c r="A105" s="313" t="s">
        <v>269</v>
      </c>
      <c r="B105" s="322">
        <v>3000</v>
      </c>
      <c r="C105" s="322">
        <v>100</v>
      </c>
      <c r="D105" s="322"/>
      <c r="E105" s="324">
        <v>-94649</v>
      </c>
      <c r="F105" s="324">
        <v>0</v>
      </c>
      <c r="G105" s="324"/>
      <c r="H105" s="324">
        <v>0</v>
      </c>
      <c r="I105" s="324">
        <v>0</v>
      </c>
      <c r="J105" s="324">
        <v>0</v>
      </c>
      <c r="K105" s="324">
        <v>0</v>
      </c>
      <c r="L105" s="324">
        <v>0</v>
      </c>
      <c r="M105" s="324">
        <v>-94649</v>
      </c>
      <c r="N105" s="324">
        <v>0</v>
      </c>
    </row>
    <row r="106" spans="1:14" ht="34.200000000000003" x14ac:dyDescent="0.25">
      <c r="A106" s="303" t="s">
        <v>270</v>
      </c>
      <c r="B106" s="302">
        <v>3010</v>
      </c>
      <c r="C106" s="302"/>
      <c r="D106" s="302"/>
      <c r="E106" s="305">
        <v>-94649</v>
      </c>
      <c r="F106" s="305"/>
      <c r="G106" s="305"/>
      <c r="H106" s="305"/>
      <c r="I106" s="305"/>
      <c r="J106" s="305"/>
      <c r="K106" s="305"/>
      <c r="L106" s="305"/>
      <c r="M106" s="305">
        <v>-94649</v>
      </c>
      <c r="N106" s="305"/>
    </row>
    <row r="107" spans="1:14" ht="18.600000000000001" x14ac:dyDescent="0.25">
      <c r="A107" s="303" t="s">
        <v>271</v>
      </c>
      <c r="B107" s="302">
        <v>3020</v>
      </c>
      <c r="C107" s="302"/>
      <c r="D107" s="302"/>
      <c r="E107" s="305">
        <v>0</v>
      </c>
      <c r="F107" s="305"/>
      <c r="G107" s="305"/>
      <c r="H107" s="305"/>
      <c r="I107" s="305"/>
      <c r="J107" s="305"/>
      <c r="K107" s="305"/>
      <c r="L107" s="305"/>
      <c r="M107" s="305"/>
      <c r="N107" s="305"/>
    </row>
    <row r="108" spans="1:14" ht="15.75" customHeight="1" x14ac:dyDescent="0.25">
      <c r="A108" s="303" t="s">
        <v>272</v>
      </c>
      <c r="B108" s="302">
        <v>3030</v>
      </c>
      <c r="C108" s="302"/>
      <c r="D108" s="302"/>
      <c r="E108" s="305">
        <v>0</v>
      </c>
      <c r="F108" s="305"/>
      <c r="G108" s="305"/>
      <c r="H108" s="305"/>
      <c r="I108" s="305"/>
      <c r="J108" s="305"/>
      <c r="K108" s="305"/>
      <c r="L108" s="305"/>
      <c r="M108" s="305"/>
      <c r="N108" s="305"/>
    </row>
    <row r="109" spans="1:14" s="317" customFormat="1" ht="15.75" customHeight="1" x14ac:dyDescent="0.25">
      <c r="A109" s="313" t="s">
        <v>273</v>
      </c>
      <c r="B109" s="322">
        <v>4000</v>
      </c>
      <c r="C109" s="322" t="s">
        <v>190</v>
      </c>
      <c r="D109" s="322"/>
      <c r="E109" s="324">
        <v>-433.5</v>
      </c>
      <c r="F109" s="324">
        <v>0</v>
      </c>
      <c r="G109" s="324"/>
      <c r="H109" s="324">
        <v>0</v>
      </c>
      <c r="I109" s="324">
        <v>0</v>
      </c>
      <c r="J109" s="324">
        <v>0</v>
      </c>
      <c r="K109" s="324">
        <v>0</v>
      </c>
      <c r="L109" s="324">
        <v>0</v>
      </c>
      <c r="M109" s="324">
        <v>0</v>
      </c>
      <c r="N109" s="324">
        <v>-433.5</v>
      </c>
    </row>
    <row r="110" spans="1:14" ht="32.25" customHeight="1" x14ac:dyDescent="0.25">
      <c r="A110" s="303" t="s">
        <v>274</v>
      </c>
      <c r="B110" s="302">
        <v>4010</v>
      </c>
      <c r="C110" s="302">
        <v>610</v>
      </c>
      <c r="D110" s="302"/>
      <c r="E110" s="305">
        <v>-433.5</v>
      </c>
      <c r="F110" s="305"/>
      <c r="G110" s="305"/>
      <c r="H110" s="305"/>
      <c r="I110" s="305"/>
      <c r="J110" s="305"/>
      <c r="K110" s="305"/>
      <c r="L110" s="305"/>
      <c r="M110" s="305"/>
      <c r="N110" s="305">
        <v>-433.5</v>
      </c>
    </row>
    <row r="111" spans="1:14" ht="15.75" hidden="1" customHeight="1" x14ac:dyDescent="0.25">
      <c r="A111" s="303"/>
      <c r="B111" s="302"/>
      <c r="C111" s="302"/>
      <c r="D111" s="302"/>
      <c r="E111" s="305"/>
      <c r="F111" s="305"/>
      <c r="G111" s="305"/>
      <c r="H111" s="305"/>
      <c r="I111" s="305"/>
      <c r="J111" s="305"/>
      <c r="K111" s="305"/>
      <c r="L111" s="305"/>
      <c r="M111" s="305"/>
      <c r="N111" s="305"/>
    </row>
    <row r="113" spans="1:14" x14ac:dyDescent="0.25">
      <c r="A113" s="296" t="s">
        <v>429</v>
      </c>
      <c r="B113" s="509" t="s">
        <v>430</v>
      </c>
      <c r="C113" s="509"/>
      <c r="D113" s="509"/>
      <c r="E113" s="509"/>
    </row>
    <row r="114" spans="1:14" x14ac:dyDescent="0.25">
      <c r="B114" s="447"/>
      <c r="C114" s="447"/>
      <c r="D114" s="447"/>
      <c r="E114" s="447"/>
    </row>
    <row r="115" spans="1:14" x14ac:dyDescent="0.25">
      <c r="A115" s="296" t="s">
        <v>416</v>
      </c>
      <c r="B115" s="400"/>
      <c r="C115" s="400"/>
      <c r="D115" s="400"/>
      <c r="E115" s="400"/>
    </row>
    <row r="116" spans="1:14" x14ac:dyDescent="0.25">
      <c r="A116" s="296" t="s">
        <v>192</v>
      </c>
      <c r="B116" s="400" t="s">
        <v>391</v>
      </c>
    </row>
    <row r="117" spans="1:14" x14ac:dyDescent="0.25">
      <c r="A117" s="508" t="s">
        <v>275</v>
      </c>
      <c r="B117" s="508"/>
      <c r="C117" s="508"/>
      <c r="D117" s="508"/>
      <c r="E117" s="508"/>
      <c r="F117" s="508"/>
      <c r="G117" s="508"/>
      <c r="H117" s="508"/>
      <c r="I117" s="508"/>
      <c r="J117" s="508"/>
      <c r="K117" s="508"/>
      <c r="L117" s="508"/>
      <c r="M117" s="508"/>
      <c r="N117" s="508"/>
    </row>
    <row r="118" spans="1:14" x14ac:dyDescent="0.25">
      <c r="A118" s="509" t="s">
        <v>276</v>
      </c>
      <c r="B118" s="509"/>
      <c r="C118" s="509"/>
      <c r="D118" s="509"/>
      <c r="E118" s="509"/>
      <c r="F118" s="509"/>
      <c r="G118" s="509"/>
      <c r="H118" s="509"/>
      <c r="I118" s="509"/>
      <c r="J118" s="509"/>
      <c r="K118" s="509"/>
      <c r="L118" s="509"/>
      <c r="M118" s="509"/>
      <c r="N118" s="509"/>
    </row>
    <row r="119" spans="1:14" x14ac:dyDescent="0.25">
      <c r="A119" s="509" t="s">
        <v>277</v>
      </c>
      <c r="B119" s="509"/>
      <c r="C119" s="509"/>
      <c r="D119" s="509"/>
      <c r="E119" s="509"/>
      <c r="F119" s="509"/>
      <c r="G119" s="509"/>
      <c r="H119" s="509"/>
      <c r="I119" s="509"/>
      <c r="J119" s="509"/>
      <c r="K119" s="509"/>
      <c r="L119" s="509"/>
      <c r="M119" s="509"/>
      <c r="N119" s="509"/>
    </row>
    <row r="120" spans="1:14" x14ac:dyDescent="0.25">
      <c r="A120" s="509" t="s">
        <v>278</v>
      </c>
      <c r="B120" s="509"/>
      <c r="C120" s="509"/>
      <c r="D120" s="509"/>
      <c r="E120" s="509"/>
      <c r="F120" s="509"/>
      <c r="G120" s="509"/>
      <c r="H120" s="509"/>
      <c r="I120" s="509"/>
      <c r="J120" s="509"/>
      <c r="K120" s="509"/>
      <c r="L120" s="509"/>
      <c r="M120" s="509"/>
      <c r="N120" s="509"/>
    </row>
    <row r="121" spans="1:14" x14ac:dyDescent="0.25">
      <c r="A121" s="509" t="s">
        <v>279</v>
      </c>
      <c r="B121" s="509"/>
      <c r="C121" s="509"/>
      <c r="D121" s="509"/>
      <c r="E121" s="509"/>
      <c r="F121" s="509"/>
      <c r="G121" s="509"/>
      <c r="H121" s="509"/>
      <c r="I121" s="509"/>
      <c r="J121" s="509"/>
      <c r="K121" s="509"/>
      <c r="L121" s="509"/>
      <c r="M121" s="509"/>
      <c r="N121" s="509"/>
    </row>
    <row r="122" spans="1:14" x14ac:dyDescent="0.25">
      <c r="A122" s="509" t="s">
        <v>280</v>
      </c>
      <c r="B122" s="509"/>
      <c r="C122" s="509"/>
      <c r="D122" s="509"/>
      <c r="E122" s="509"/>
      <c r="F122" s="509"/>
      <c r="G122" s="509"/>
      <c r="H122" s="509"/>
      <c r="I122" s="509"/>
      <c r="J122" s="509"/>
      <c r="K122" s="509"/>
      <c r="L122" s="509"/>
      <c r="M122" s="509"/>
      <c r="N122" s="509"/>
    </row>
    <row r="123" spans="1:14" x14ac:dyDescent="0.25">
      <c r="A123" s="526" t="s">
        <v>281</v>
      </c>
      <c r="B123" s="526"/>
      <c r="C123" s="526"/>
      <c r="D123" s="526"/>
      <c r="E123" s="526"/>
      <c r="F123" s="526"/>
      <c r="G123" s="526"/>
      <c r="H123" s="526"/>
      <c r="I123" s="526"/>
      <c r="J123" s="526"/>
      <c r="K123" s="526"/>
      <c r="L123" s="526"/>
      <c r="M123" s="526"/>
      <c r="N123" s="526"/>
    </row>
    <row r="124" spans="1:14" x14ac:dyDescent="0.25">
      <c r="A124" s="509" t="s">
        <v>282</v>
      </c>
      <c r="B124" s="509"/>
      <c r="C124" s="509"/>
      <c r="D124" s="509"/>
      <c r="E124" s="509"/>
      <c r="F124" s="509"/>
      <c r="G124" s="509"/>
      <c r="H124" s="509"/>
      <c r="I124" s="509"/>
      <c r="J124" s="509"/>
      <c r="K124" s="509"/>
      <c r="L124" s="509"/>
      <c r="M124" s="509"/>
      <c r="N124" s="509"/>
    </row>
    <row r="125" spans="1:14" x14ac:dyDescent="0.25">
      <c r="A125" s="526" t="s">
        <v>283</v>
      </c>
      <c r="B125" s="526"/>
      <c r="C125" s="526"/>
      <c r="D125" s="526"/>
      <c r="E125" s="526"/>
      <c r="F125" s="526"/>
      <c r="G125" s="526"/>
      <c r="H125" s="526"/>
      <c r="I125" s="526"/>
      <c r="J125" s="526"/>
      <c r="K125" s="526"/>
      <c r="L125" s="526"/>
      <c r="M125" s="526"/>
      <c r="N125" s="526"/>
    </row>
    <row r="126" spans="1:14" x14ac:dyDescent="0.25">
      <c r="A126" s="526" t="s">
        <v>284</v>
      </c>
      <c r="B126" s="526"/>
      <c r="C126" s="526"/>
      <c r="D126" s="526"/>
      <c r="E126" s="526"/>
      <c r="F126" s="526"/>
      <c r="G126" s="526"/>
      <c r="H126" s="526"/>
      <c r="I126" s="526"/>
      <c r="J126" s="526"/>
      <c r="K126" s="526"/>
      <c r="L126" s="526"/>
      <c r="M126" s="526"/>
      <c r="N126" s="526"/>
    </row>
    <row r="127" spans="1:14" x14ac:dyDescent="0.25">
      <c r="A127" s="509" t="s">
        <v>285</v>
      </c>
      <c r="B127" s="509"/>
      <c r="C127" s="509"/>
      <c r="D127" s="509"/>
      <c r="E127" s="509"/>
      <c r="F127" s="509"/>
      <c r="G127" s="509"/>
      <c r="H127" s="509"/>
      <c r="I127" s="509"/>
      <c r="J127" s="509"/>
      <c r="K127" s="509"/>
      <c r="L127" s="509"/>
      <c r="M127" s="509"/>
      <c r="N127" s="509"/>
    </row>
    <row r="128" spans="1:14" x14ac:dyDescent="0.25">
      <c r="A128" s="509" t="s">
        <v>286</v>
      </c>
      <c r="B128" s="509"/>
      <c r="C128" s="509"/>
      <c r="D128" s="509"/>
      <c r="E128" s="509"/>
      <c r="F128" s="509"/>
      <c r="G128" s="509"/>
      <c r="H128" s="509"/>
      <c r="I128" s="509"/>
      <c r="J128" s="509"/>
      <c r="K128" s="509"/>
      <c r="L128" s="509"/>
      <c r="M128" s="509"/>
      <c r="N128" s="509"/>
    </row>
    <row r="129" spans="1:14" x14ac:dyDescent="0.25">
      <c r="A129" s="526" t="s">
        <v>287</v>
      </c>
      <c r="B129" s="526"/>
      <c r="C129" s="526"/>
      <c r="D129" s="526"/>
      <c r="E129" s="526"/>
      <c r="F129" s="526"/>
      <c r="G129" s="526"/>
      <c r="H129" s="526"/>
      <c r="I129" s="526"/>
      <c r="J129" s="526"/>
      <c r="K129" s="526"/>
      <c r="L129" s="526"/>
      <c r="M129" s="526"/>
      <c r="N129" s="526"/>
    </row>
  </sheetData>
  <mergeCells count="36">
    <mergeCell ref="A124:N124"/>
    <mergeCell ref="A125:N125"/>
    <mergeCell ref="A129:N129"/>
    <mergeCell ref="A126:N126"/>
    <mergeCell ref="A127:N127"/>
    <mergeCell ref="A128:N128"/>
    <mergeCell ref="A121:N121"/>
    <mergeCell ref="A122:N122"/>
    <mergeCell ref="A123:N123"/>
    <mergeCell ref="A118:N118"/>
    <mergeCell ref="A119:N119"/>
    <mergeCell ref="A120:N120"/>
    <mergeCell ref="L18:M18"/>
    <mergeCell ref="L17:M17"/>
    <mergeCell ref="A14:N14"/>
    <mergeCell ref="K10:N10"/>
    <mergeCell ref="A12:N12"/>
    <mergeCell ref="A13:N13"/>
    <mergeCell ref="F15:I15"/>
    <mergeCell ref="A117:N117"/>
    <mergeCell ref="B113:E113"/>
    <mergeCell ref="E28:N28"/>
    <mergeCell ref="A26:N26"/>
    <mergeCell ref="A27:A30"/>
    <mergeCell ref="B27:B30"/>
    <mergeCell ref="C27:C30"/>
    <mergeCell ref="E27:N27"/>
    <mergeCell ref="E29:N29"/>
    <mergeCell ref="D27:D30"/>
    <mergeCell ref="J9:N9"/>
    <mergeCell ref="J1:N1"/>
    <mergeCell ref="J3:N3"/>
    <mergeCell ref="J4:N4"/>
    <mergeCell ref="J5:N5"/>
    <mergeCell ref="M7:N7"/>
    <mergeCell ref="J8:K8"/>
  </mergeCells>
  <printOptions horizontalCentered="1"/>
  <pageMargins left="0.19685039370078741" right="0.15748031496062992" top="0.23622047244094491" bottom="0.31496062992125984" header="0.27559055118110237" footer="0"/>
  <pageSetup paperSize="9" scale="43" fitToHeight="0" orientation="landscape" r:id="rId1"/>
  <headerFooter alignWithMargins="0"/>
  <rowBreaks count="2" manualBreakCount="2">
    <brk id="52" max="13" man="1"/>
    <brk id="92"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09"/>
  <sheetViews>
    <sheetView view="pageBreakPreview" zoomScale="60" workbookViewId="0">
      <selection activeCell="H14" sqref="H14"/>
    </sheetView>
  </sheetViews>
  <sheetFormatPr defaultColWidth="9.33203125" defaultRowHeight="15.6" x14ac:dyDescent="0.25"/>
  <cols>
    <col min="1" max="1" width="86" style="296" customWidth="1"/>
    <col min="2" max="2" width="9.33203125" style="358" customWidth="1"/>
    <col min="3" max="3" width="24.77734375" style="296" customWidth="1"/>
    <col min="4" max="4" width="25.109375" style="296" hidden="1" customWidth="1"/>
    <col min="5" max="6" width="21.109375" style="296" customWidth="1"/>
    <col min="7" max="7" width="21.109375" style="296" hidden="1" customWidth="1"/>
    <col min="8" max="8" width="33.109375" style="296" customWidth="1"/>
    <col min="9" max="9" width="19.33203125" style="296" hidden="1" customWidth="1"/>
    <col min="10" max="11" width="30.109375" style="296" customWidth="1"/>
    <col min="12" max="12" width="33.44140625" style="296" customWidth="1"/>
    <col min="13" max="14" width="23.109375" style="296" customWidth="1"/>
    <col min="15" max="15" width="19.33203125" style="296" bestFit="1" customWidth="1"/>
    <col min="16" max="16384" width="9.33203125" style="296"/>
  </cols>
  <sheetData>
    <row r="1" spans="1:15" s="419" customFormat="1" x14ac:dyDescent="0.25">
      <c r="B1" s="417"/>
    </row>
    <row r="2" spans="1:15" s="419" customFormat="1" x14ac:dyDescent="0.25">
      <c r="B2" s="417"/>
      <c r="E2" s="350" t="e">
        <v>#REF!</v>
      </c>
      <c r="F2" s="351">
        <v>74747000</v>
      </c>
      <c r="G2" s="351"/>
      <c r="H2" s="350">
        <v>1291700</v>
      </c>
      <c r="I2" s="350">
        <v>0</v>
      </c>
      <c r="J2" s="350">
        <v>-210600</v>
      </c>
      <c r="K2" s="352"/>
      <c r="L2" s="350">
        <v>0</v>
      </c>
      <c r="M2" s="353">
        <v>2334200</v>
      </c>
      <c r="N2" s="354"/>
    </row>
    <row r="3" spans="1:15" s="419" customFormat="1" x14ac:dyDescent="0.25">
      <c r="B3" s="417"/>
      <c r="E3" s="350"/>
      <c r="F3" s="351"/>
      <c r="G3" s="351"/>
      <c r="H3" s="350"/>
      <c r="I3" s="350"/>
      <c r="J3" s="350"/>
      <c r="K3" s="352"/>
      <c r="L3" s="350"/>
      <c r="M3" s="353"/>
      <c r="N3" s="354"/>
    </row>
    <row r="4" spans="1:15" s="419" customFormat="1" x14ac:dyDescent="0.25">
      <c r="A4" s="419" t="s">
        <v>206</v>
      </c>
      <c r="B4" s="417"/>
      <c r="E4" s="350"/>
      <c r="F4" s="351"/>
      <c r="G4" s="351"/>
      <c r="H4" s="350"/>
      <c r="I4" s="350"/>
      <c r="J4" s="350"/>
      <c r="K4" s="352"/>
      <c r="L4" s="350"/>
      <c r="M4" s="353"/>
      <c r="N4" s="354"/>
    </row>
    <row r="5" spans="1:15" x14ac:dyDescent="0.25">
      <c r="A5" s="296" t="s">
        <v>368</v>
      </c>
      <c r="B5" s="418"/>
      <c r="E5" s="362"/>
      <c r="F5" s="334"/>
      <c r="G5" s="334"/>
      <c r="H5" s="362"/>
      <c r="I5" s="362"/>
      <c r="J5" s="362"/>
      <c r="K5" s="298"/>
      <c r="L5" s="362"/>
      <c r="M5" s="379"/>
      <c r="N5" s="355"/>
    </row>
    <row r="6" spans="1:15" x14ac:dyDescent="0.25">
      <c r="B6" s="296"/>
    </row>
    <row r="7" spans="1:15" x14ac:dyDescent="0.25">
      <c r="B7" s="418"/>
      <c r="E7" s="362"/>
      <c r="F7" s="334"/>
      <c r="G7" s="334"/>
      <c r="H7" s="362"/>
      <c r="I7" s="362"/>
      <c r="J7" s="362"/>
      <c r="K7" s="298"/>
      <c r="L7" s="362"/>
      <c r="M7" s="379"/>
      <c r="N7" s="355"/>
    </row>
    <row r="8" spans="1:15" x14ac:dyDescent="0.25">
      <c r="A8" s="371" t="s">
        <v>414</v>
      </c>
      <c r="B8" s="415"/>
      <c r="E8" s="350">
        <v>0</v>
      </c>
      <c r="F8" s="351">
        <v>0</v>
      </c>
      <c r="G8" s="351"/>
      <c r="H8" s="350">
        <v>123000</v>
      </c>
      <c r="I8" s="350">
        <v>0</v>
      </c>
      <c r="J8" s="350">
        <v>0</v>
      </c>
      <c r="K8" s="352"/>
      <c r="L8" s="350">
        <v>0</v>
      </c>
      <c r="M8" s="353">
        <v>0</v>
      </c>
      <c r="N8" s="355"/>
    </row>
    <row r="9" spans="1:15" x14ac:dyDescent="0.25">
      <c r="A9" s="296" t="s">
        <v>210</v>
      </c>
      <c r="B9" s="415"/>
      <c r="E9" s="298"/>
      <c r="F9" s="298"/>
      <c r="G9" s="298"/>
      <c r="H9" s="298"/>
      <c r="I9" s="298"/>
      <c r="J9" s="298"/>
      <c r="K9" s="298"/>
      <c r="L9" s="298"/>
      <c r="M9" s="298"/>
      <c r="N9" s="298"/>
    </row>
    <row r="10" spans="1:15" ht="31.5" customHeight="1" x14ac:dyDescent="0.25">
      <c r="A10" s="507" t="s">
        <v>213</v>
      </c>
      <c r="B10" s="507"/>
      <c r="C10" s="507"/>
      <c r="D10" s="507"/>
      <c r="E10" s="507"/>
      <c r="F10" s="507"/>
      <c r="G10" s="507"/>
      <c r="H10" s="507"/>
      <c r="I10" s="507"/>
      <c r="J10" s="507"/>
      <c r="K10" s="507"/>
      <c r="L10" s="507"/>
      <c r="M10" s="507"/>
      <c r="N10" s="507"/>
    </row>
    <row r="11" spans="1:15" ht="17.25" customHeight="1" x14ac:dyDescent="0.25">
      <c r="A11" s="514" t="s">
        <v>177</v>
      </c>
      <c r="B11" s="517" t="s">
        <v>178</v>
      </c>
      <c r="C11" s="517" t="s">
        <v>214</v>
      </c>
      <c r="D11" s="517" t="s">
        <v>401</v>
      </c>
      <c r="E11" s="520" t="s">
        <v>215</v>
      </c>
      <c r="F11" s="520"/>
      <c r="G11" s="520"/>
      <c r="H11" s="520"/>
      <c r="I11" s="520"/>
      <c r="J11" s="520"/>
      <c r="K11" s="520"/>
      <c r="L11" s="520"/>
      <c r="M11" s="520"/>
      <c r="N11" s="520"/>
    </row>
    <row r="12" spans="1:15" ht="30" customHeight="1" x14ac:dyDescent="0.25">
      <c r="A12" s="515"/>
      <c r="B12" s="518"/>
      <c r="C12" s="518"/>
      <c r="D12" s="518"/>
      <c r="E12" s="510" t="s">
        <v>217</v>
      </c>
      <c r="F12" s="511"/>
      <c r="G12" s="511"/>
      <c r="H12" s="511"/>
      <c r="I12" s="511"/>
      <c r="J12" s="511"/>
      <c r="K12" s="511"/>
      <c r="L12" s="511"/>
      <c r="M12" s="511"/>
      <c r="N12" s="512"/>
    </row>
    <row r="13" spans="1:15" ht="24.75" customHeight="1" x14ac:dyDescent="0.25">
      <c r="A13" s="515"/>
      <c r="B13" s="518"/>
      <c r="C13" s="518"/>
      <c r="D13" s="518"/>
      <c r="E13" s="510" t="s">
        <v>369</v>
      </c>
      <c r="F13" s="511"/>
      <c r="G13" s="511"/>
      <c r="H13" s="511"/>
      <c r="I13" s="511"/>
      <c r="J13" s="511"/>
      <c r="K13" s="511"/>
      <c r="L13" s="511"/>
      <c r="M13" s="511"/>
      <c r="N13" s="512"/>
    </row>
    <row r="14" spans="1:15" ht="179.25" customHeight="1" x14ac:dyDescent="0.25">
      <c r="A14" s="516"/>
      <c r="B14" s="519"/>
      <c r="C14" s="519"/>
      <c r="D14" s="519"/>
      <c r="E14" s="356" t="s">
        <v>176</v>
      </c>
      <c r="F14" s="356" t="s">
        <v>219</v>
      </c>
      <c r="G14" s="374" t="s">
        <v>220</v>
      </c>
      <c r="H14" s="369" t="s">
        <v>438</v>
      </c>
      <c r="I14" s="356" t="s">
        <v>196</v>
      </c>
      <c r="J14" s="457" t="s">
        <v>432</v>
      </c>
      <c r="K14" s="368" t="s">
        <v>439</v>
      </c>
      <c r="L14" s="370" t="s">
        <v>394</v>
      </c>
      <c r="M14" s="356" t="s">
        <v>201</v>
      </c>
      <c r="N14" s="301" t="s">
        <v>202</v>
      </c>
    </row>
    <row r="15" spans="1:15" s="371" customFormat="1" ht="17.25" customHeight="1" x14ac:dyDescent="0.25">
      <c r="A15" s="373">
        <v>1</v>
      </c>
      <c r="B15" s="374">
        <v>2</v>
      </c>
      <c r="C15" s="377">
        <v>3</v>
      </c>
      <c r="D15" s="377">
        <v>4</v>
      </c>
      <c r="E15" s="374">
        <v>4</v>
      </c>
      <c r="F15" s="374">
        <v>5</v>
      </c>
      <c r="G15" s="380">
        <v>7</v>
      </c>
      <c r="H15" s="374">
        <v>6</v>
      </c>
      <c r="I15" s="380">
        <v>9</v>
      </c>
      <c r="J15" s="374">
        <v>7</v>
      </c>
      <c r="K15" s="380">
        <v>8</v>
      </c>
      <c r="L15" s="374">
        <v>9</v>
      </c>
      <c r="M15" s="380">
        <v>10</v>
      </c>
      <c r="N15" s="374">
        <v>11</v>
      </c>
    </row>
    <row r="16" spans="1:15" ht="22.5" customHeight="1" x14ac:dyDescent="0.35">
      <c r="A16" s="303" t="s">
        <v>221</v>
      </c>
      <c r="B16" s="356" t="s">
        <v>222</v>
      </c>
      <c r="C16" s="377" t="s">
        <v>190</v>
      </c>
      <c r="D16" s="377"/>
      <c r="E16" s="304"/>
      <c r="F16" s="305"/>
      <c r="G16" s="305"/>
      <c r="H16" s="305"/>
      <c r="I16" s="305"/>
      <c r="J16" s="305"/>
      <c r="K16" s="305"/>
      <c r="L16" s="306"/>
      <c r="M16" s="305"/>
      <c r="N16" s="305"/>
      <c r="O16" s="307"/>
    </row>
    <row r="17" spans="1:28" ht="31.5" customHeight="1" x14ac:dyDescent="0.25">
      <c r="A17" s="303" t="s">
        <v>223</v>
      </c>
      <c r="B17" s="356" t="s">
        <v>224</v>
      </c>
      <c r="C17" s="377" t="s">
        <v>190</v>
      </c>
      <c r="D17" s="377"/>
      <c r="E17" s="304"/>
      <c r="F17" s="306"/>
      <c r="G17" s="306"/>
      <c r="H17" s="306"/>
      <c r="I17" s="306"/>
      <c r="J17" s="306"/>
      <c r="K17" s="306"/>
      <c r="M17" s="306"/>
      <c r="N17" s="306"/>
    </row>
    <row r="18" spans="1:28" s="312" customFormat="1" ht="27" customHeight="1" x14ac:dyDescent="0.25">
      <c r="A18" s="308" t="s">
        <v>225</v>
      </c>
      <c r="B18" s="309" t="s">
        <v>226</v>
      </c>
      <c r="C18" s="309"/>
      <c r="D18" s="309"/>
      <c r="E18" s="310">
        <v>42529200</v>
      </c>
      <c r="F18" s="311">
        <v>38839400</v>
      </c>
      <c r="G18" s="311">
        <v>0</v>
      </c>
      <c r="H18" s="311">
        <v>853300</v>
      </c>
      <c r="I18" s="311">
        <v>0</v>
      </c>
      <c r="J18" s="311">
        <v>210600</v>
      </c>
      <c r="K18" s="311">
        <v>0</v>
      </c>
      <c r="L18" s="311">
        <v>0</v>
      </c>
      <c r="M18" s="311">
        <v>2625900</v>
      </c>
      <c r="N18" s="311">
        <v>0</v>
      </c>
    </row>
    <row r="19" spans="1:28" s="317" customFormat="1" ht="31.2" x14ac:dyDescent="0.25">
      <c r="A19" s="313" t="s">
        <v>227</v>
      </c>
      <c r="B19" s="314" t="s">
        <v>228</v>
      </c>
      <c r="C19" s="314">
        <v>120</v>
      </c>
      <c r="D19" s="314"/>
      <c r="E19" s="315">
        <v>0</v>
      </c>
      <c r="F19" s="315">
        <v>0</v>
      </c>
      <c r="G19" s="315">
        <v>0</v>
      </c>
      <c r="H19" s="315">
        <v>0</v>
      </c>
      <c r="I19" s="315">
        <v>0</v>
      </c>
      <c r="J19" s="315">
        <v>0</v>
      </c>
      <c r="K19" s="315">
        <v>0</v>
      </c>
      <c r="L19" s="315">
        <v>0</v>
      </c>
      <c r="M19" s="315">
        <v>0</v>
      </c>
      <c r="N19" s="315">
        <v>0</v>
      </c>
      <c r="O19" s="316"/>
      <c r="P19" s="316"/>
      <c r="Q19" s="316"/>
      <c r="R19" s="316"/>
      <c r="S19" s="316"/>
      <c r="T19" s="316"/>
    </row>
    <row r="20" spans="1:28" s="320" customFormat="1" ht="22.5" customHeight="1" x14ac:dyDescent="0.25">
      <c r="A20" s="303" t="s">
        <v>182</v>
      </c>
      <c r="B20" s="302"/>
      <c r="C20" s="302"/>
      <c r="D20" s="302"/>
      <c r="E20" s="305"/>
      <c r="F20" s="306"/>
      <c r="G20" s="306"/>
      <c r="H20" s="306"/>
      <c r="I20" s="306"/>
      <c r="J20" s="306"/>
      <c r="K20" s="306"/>
      <c r="L20" s="306"/>
      <c r="M20" s="306"/>
      <c r="N20" s="306"/>
      <c r="O20" s="318"/>
      <c r="P20" s="318"/>
      <c r="Q20" s="318"/>
      <c r="R20" s="318"/>
      <c r="S20" s="319"/>
      <c r="T20" s="319"/>
    </row>
    <row r="21" spans="1:28" s="320" customFormat="1" ht="31.2" x14ac:dyDescent="0.25">
      <c r="A21" s="303" t="s">
        <v>417</v>
      </c>
      <c r="B21" s="302" t="s">
        <v>229</v>
      </c>
      <c r="C21" s="321" t="s">
        <v>402</v>
      </c>
      <c r="D21" s="321" t="s">
        <v>230</v>
      </c>
      <c r="E21" s="305">
        <v>0</v>
      </c>
      <c r="F21" s="306"/>
      <c r="G21" s="306"/>
      <c r="H21" s="305"/>
      <c r="I21" s="305"/>
      <c r="J21" s="305"/>
      <c r="K21" s="305"/>
      <c r="L21" s="305"/>
      <c r="M21" s="305">
        <v>0</v>
      </c>
      <c r="N21" s="305"/>
      <c r="O21" s="319"/>
      <c r="P21" s="318"/>
      <c r="Q21" s="319"/>
      <c r="R21" s="318"/>
      <c r="S21" s="319"/>
      <c r="T21" s="319"/>
    </row>
    <row r="22" spans="1:28" s="320" customFormat="1" ht="31.2" x14ac:dyDescent="0.25">
      <c r="A22" s="303" t="s">
        <v>188</v>
      </c>
      <c r="B22" s="302">
        <v>1120</v>
      </c>
      <c r="C22" s="321" t="s">
        <v>402</v>
      </c>
      <c r="D22" s="321"/>
      <c r="E22" s="305"/>
      <c r="F22" s="306"/>
      <c r="G22" s="306"/>
      <c r="H22" s="305"/>
      <c r="I22" s="305"/>
      <c r="J22" s="305"/>
      <c r="K22" s="305"/>
      <c r="L22" s="305"/>
      <c r="M22" s="305"/>
      <c r="N22" s="305"/>
      <c r="O22" s="319"/>
      <c r="P22" s="318"/>
      <c r="Q22" s="319"/>
      <c r="R22" s="318"/>
      <c r="S22" s="319"/>
      <c r="T22" s="319"/>
    </row>
    <row r="23" spans="1:28" s="320" customFormat="1" ht="31.2" x14ac:dyDescent="0.25">
      <c r="A23" s="303" t="s">
        <v>189</v>
      </c>
      <c r="B23" s="302">
        <v>1130</v>
      </c>
      <c r="C23" s="321" t="s">
        <v>402</v>
      </c>
      <c r="D23" s="321"/>
      <c r="E23" s="305"/>
      <c r="F23" s="306"/>
      <c r="G23" s="306"/>
      <c r="H23" s="305"/>
      <c r="I23" s="305"/>
      <c r="J23" s="305"/>
      <c r="K23" s="305"/>
      <c r="L23" s="305"/>
      <c r="M23" s="305"/>
      <c r="N23" s="305"/>
      <c r="O23" s="319"/>
      <c r="P23" s="318"/>
      <c r="Q23" s="319"/>
      <c r="R23" s="318"/>
      <c r="S23" s="319"/>
      <c r="T23" s="319"/>
    </row>
    <row r="24" spans="1:28" s="327" customFormat="1" ht="16.2" x14ac:dyDescent="0.25">
      <c r="A24" s="313" t="s">
        <v>231</v>
      </c>
      <c r="B24" s="322">
        <v>1200</v>
      </c>
      <c r="C24" s="323" t="s">
        <v>232</v>
      </c>
      <c r="D24" s="323"/>
      <c r="E24" s="324">
        <v>41465300</v>
      </c>
      <c r="F24" s="315">
        <v>38839400</v>
      </c>
      <c r="G24" s="315">
        <v>0</v>
      </c>
      <c r="H24" s="315">
        <v>0</v>
      </c>
      <c r="I24" s="315">
        <v>0</v>
      </c>
      <c r="J24" s="315">
        <v>0</v>
      </c>
      <c r="K24" s="315">
        <v>0</v>
      </c>
      <c r="L24" s="315">
        <v>0</v>
      </c>
      <c r="M24" s="315">
        <v>2625900</v>
      </c>
      <c r="N24" s="315">
        <v>0</v>
      </c>
      <c r="O24" s="316"/>
      <c r="P24" s="325"/>
      <c r="Q24" s="316"/>
      <c r="R24" s="325"/>
      <c r="S24" s="316"/>
      <c r="T24" s="326"/>
    </row>
    <row r="25" spans="1:28" s="330" customFormat="1" ht="15.75" customHeight="1" x14ac:dyDescent="0.25">
      <c r="A25" s="303" t="s">
        <v>182</v>
      </c>
      <c r="B25" s="302"/>
      <c r="C25" s="328"/>
      <c r="D25" s="328"/>
      <c r="E25" s="305"/>
      <c r="F25" s="306"/>
      <c r="G25" s="306"/>
      <c r="H25" s="306"/>
      <c r="I25" s="306"/>
      <c r="J25" s="306"/>
      <c r="K25" s="306"/>
      <c r="L25" s="306"/>
      <c r="M25" s="306"/>
      <c r="N25" s="306"/>
      <c r="O25" s="319"/>
      <c r="P25" s="318"/>
      <c r="Q25" s="319"/>
      <c r="R25" s="318"/>
      <c r="S25" s="319"/>
      <c r="T25" s="329"/>
    </row>
    <row r="26" spans="1:28" s="330" customFormat="1" ht="16.2" x14ac:dyDescent="0.25">
      <c r="A26" s="303" t="s">
        <v>418</v>
      </c>
      <c r="B26" s="302">
        <v>1210</v>
      </c>
      <c r="C26" s="321" t="s">
        <v>232</v>
      </c>
      <c r="D26" s="321" t="s">
        <v>232</v>
      </c>
      <c r="E26" s="305">
        <v>38839400</v>
      </c>
      <c r="F26" s="306">
        <v>38839400</v>
      </c>
      <c r="G26" s="306"/>
      <c r="H26" s="306"/>
      <c r="I26" s="306"/>
      <c r="J26" s="306"/>
      <c r="K26" s="306"/>
      <c r="L26" s="306"/>
      <c r="M26" s="306"/>
      <c r="N26" s="306"/>
      <c r="O26" s="319"/>
      <c r="P26" s="318"/>
      <c r="Q26" s="319"/>
      <c r="R26" s="318"/>
      <c r="S26" s="319"/>
      <c r="T26" s="329"/>
    </row>
    <row r="27" spans="1:28" ht="31.2" x14ac:dyDescent="0.25">
      <c r="A27" s="303" t="s">
        <v>419</v>
      </c>
      <c r="B27" s="302">
        <v>1220</v>
      </c>
      <c r="C27" s="321" t="s">
        <v>232</v>
      </c>
      <c r="D27" s="321" t="s">
        <v>233</v>
      </c>
      <c r="E27" s="331">
        <v>2625900</v>
      </c>
      <c r="F27" s="331"/>
      <c r="G27" s="331"/>
      <c r="H27" s="331"/>
      <c r="I27" s="331"/>
      <c r="J27" s="331"/>
      <c r="K27" s="331"/>
      <c r="L27" s="331"/>
      <c r="M27" s="331">
        <v>2625900</v>
      </c>
      <c r="N27" s="331"/>
      <c r="O27" s="527"/>
      <c r="P27" s="528"/>
      <c r="Q27" s="528"/>
      <c r="R27" s="528"/>
      <c r="S27" s="528"/>
      <c r="T27" s="528"/>
      <c r="U27" s="528"/>
      <c r="V27" s="528"/>
      <c r="W27" s="528"/>
    </row>
    <row r="28" spans="1:28" ht="46.8" x14ac:dyDescent="0.25">
      <c r="A28" s="303" t="s">
        <v>420</v>
      </c>
      <c r="B28" s="302">
        <v>1230</v>
      </c>
      <c r="C28" s="302" t="s">
        <v>232</v>
      </c>
      <c r="D28" s="302">
        <v>135</v>
      </c>
      <c r="E28" s="331">
        <v>0</v>
      </c>
      <c r="F28" s="331"/>
      <c r="G28" s="331"/>
      <c r="H28" s="331"/>
      <c r="I28" s="331"/>
      <c r="J28" s="331"/>
      <c r="K28" s="331"/>
      <c r="L28" s="331"/>
      <c r="M28" s="331">
        <v>0</v>
      </c>
      <c r="N28" s="331"/>
      <c r="O28" s="332"/>
      <c r="P28" s="333"/>
      <c r="Q28" s="333"/>
      <c r="R28" s="333"/>
      <c r="S28" s="333"/>
      <c r="T28" s="333"/>
      <c r="U28" s="333"/>
      <c r="V28" s="333"/>
      <c r="W28" s="333"/>
      <c r="X28" s="333"/>
      <c r="Y28" s="333"/>
      <c r="Z28" s="333"/>
      <c r="AA28" s="333"/>
      <c r="AB28" s="333"/>
    </row>
    <row r="29" spans="1:28" ht="31.2" x14ac:dyDescent="0.25">
      <c r="A29" s="303" t="s">
        <v>191</v>
      </c>
      <c r="B29" s="302">
        <v>1240</v>
      </c>
      <c r="C29" s="302" t="s">
        <v>232</v>
      </c>
      <c r="D29" s="302">
        <v>136</v>
      </c>
      <c r="E29" s="331">
        <v>0</v>
      </c>
      <c r="F29" s="331"/>
      <c r="G29" s="331"/>
      <c r="H29" s="331"/>
      <c r="I29" s="331"/>
      <c r="J29" s="331"/>
      <c r="K29" s="331"/>
      <c r="L29" s="331"/>
      <c r="M29" s="331">
        <v>0</v>
      </c>
      <c r="N29" s="331"/>
      <c r="O29" s="298"/>
      <c r="P29" s="334"/>
      <c r="Q29" s="298"/>
      <c r="R29" s="334"/>
      <c r="S29" s="298"/>
      <c r="T29" s="298"/>
    </row>
    <row r="30" spans="1:28" s="317" customFormat="1" x14ac:dyDescent="0.25">
      <c r="A30" s="313" t="s">
        <v>234</v>
      </c>
      <c r="B30" s="322">
        <v>1300</v>
      </c>
      <c r="C30" s="322">
        <v>140</v>
      </c>
      <c r="D30" s="322"/>
      <c r="E30" s="335">
        <v>0</v>
      </c>
      <c r="F30" s="335">
        <v>0</v>
      </c>
      <c r="G30" s="335"/>
      <c r="H30" s="335">
        <v>0</v>
      </c>
      <c r="I30" s="335">
        <v>0</v>
      </c>
      <c r="J30" s="335">
        <v>0</v>
      </c>
      <c r="K30" s="335">
        <v>0</v>
      </c>
      <c r="L30" s="335">
        <v>0</v>
      </c>
      <c r="M30" s="335">
        <v>0</v>
      </c>
      <c r="N30" s="335">
        <v>0</v>
      </c>
      <c r="O30" s="336"/>
      <c r="P30" s="325"/>
      <c r="Q30" s="316"/>
      <c r="R30" s="325"/>
      <c r="S30" s="316"/>
      <c r="T30" s="316"/>
    </row>
    <row r="31" spans="1:28" x14ac:dyDescent="0.25">
      <c r="A31" s="337" t="s">
        <v>182</v>
      </c>
      <c r="B31" s="302"/>
      <c r="C31" s="302"/>
      <c r="D31" s="302"/>
      <c r="E31" s="331"/>
      <c r="F31" s="331"/>
      <c r="G31" s="331"/>
      <c r="H31" s="331"/>
      <c r="I31" s="331"/>
      <c r="J31" s="331"/>
      <c r="K31" s="331"/>
      <c r="L31" s="331"/>
      <c r="M31" s="331"/>
      <c r="N31" s="331"/>
      <c r="O31" s="298"/>
      <c r="P31" s="334"/>
      <c r="Q31" s="298"/>
      <c r="R31" s="334"/>
      <c r="S31" s="298"/>
      <c r="T31" s="298"/>
    </row>
    <row r="32" spans="1:28" x14ac:dyDescent="0.25">
      <c r="A32" s="337"/>
      <c r="B32" s="302">
        <v>1310</v>
      </c>
      <c r="C32" s="302">
        <v>140</v>
      </c>
      <c r="D32" s="302"/>
      <c r="E32" s="331">
        <v>0</v>
      </c>
      <c r="F32" s="331"/>
      <c r="G32" s="331"/>
      <c r="H32" s="331"/>
      <c r="I32" s="331"/>
      <c r="J32" s="331"/>
      <c r="K32" s="331"/>
      <c r="L32" s="331"/>
      <c r="M32" s="331"/>
      <c r="N32" s="331"/>
      <c r="O32" s="298"/>
      <c r="P32" s="334"/>
      <c r="Q32" s="298"/>
      <c r="R32" s="334"/>
      <c r="S32" s="298"/>
      <c r="T32" s="298"/>
    </row>
    <row r="33" spans="1:20" s="317" customFormat="1" x14ac:dyDescent="0.25">
      <c r="A33" s="313" t="s">
        <v>235</v>
      </c>
      <c r="B33" s="322">
        <v>1400</v>
      </c>
      <c r="C33" s="322">
        <v>150</v>
      </c>
      <c r="D33" s="322"/>
      <c r="E33" s="335">
        <v>1063900</v>
      </c>
      <c r="F33" s="335">
        <v>0</v>
      </c>
      <c r="G33" s="335"/>
      <c r="H33" s="335">
        <v>853300</v>
      </c>
      <c r="I33" s="335">
        <v>0</v>
      </c>
      <c r="J33" s="335">
        <v>210600</v>
      </c>
      <c r="K33" s="335">
        <v>0</v>
      </c>
      <c r="L33" s="335">
        <v>0</v>
      </c>
      <c r="M33" s="335">
        <v>0</v>
      </c>
      <c r="N33" s="335">
        <v>0</v>
      </c>
      <c r="O33" s="316"/>
      <c r="P33" s="325"/>
      <c r="Q33" s="316"/>
      <c r="R33" s="325"/>
      <c r="S33" s="316"/>
      <c r="T33" s="316"/>
    </row>
    <row r="34" spans="1:20" x14ac:dyDescent="0.25">
      <c r="A34" s="303" t="s">
        <v>182</v>
      </c>
      <c r="B34" s="302"/>
      <c r="C34" s="302"/>
      <c r="D34" s="302"/>
      <c r="E34" s="331"/>
      <c r="F34" s="331"/>
      <c r="G34" s="331"/>
      <c r="H34" s="331"/>
      <c r="I34" s="331"/>
      <c r="J34" s="331"/>
      <c r="K34" s="331"/>
      <c r="L34" s="331"/>
      <c r="M34" s="331"/>
      <c r="N34" s="331"/>
      <c r="O34" s="298"/>
      <c r="P34" s="334"/>
      <c r="Q34" s="298"/>
      <c r="R34" s="334"/>
      <c r="S34" s="298"/>
      <c r="T34" s="298"/>
    </row>
    <row r="35" spans="1:20" x14ac:dyDescent="0.25">
      <c r="A35" s="303" t="s">
        <v>194</v>
      </c>
      <c r="B35" s="302">
        <v>1410</v>
      </c>
      <c r="C35" s="321" t="s">
        <v>238</v>
      </c>
      <c r="D35" s="321"/>
      <c r="E35" s="331">
        <v>1063900</v>
      </c>
      <c r="F35" s="331"/>
      <c r="G35" s="331"/>
      <c r="H35" s="331">
        <v>853300</v>
      </c>
      <c r="I35" s="331">
        <v>0</v>
      </c>
      <c r="J35" s="331">
        <v>210600</v>
      </c>
      <c r="K35" s="331"/>
      <c r="M35" s="331"/>
      <c r="N35" s="331"/>
      <c r="O35" s="298"/>
      <c r="P35" s="334"/>
      <c r="Q35" s="298"/>
      <c r="R35" s="334"/>
      <c r="S35" s="298"/>
      <c r="T35" s="298"/>
    </row>
    <row r="36" spans="1:20" x14ac:dyDescent="0.25">
      <c r="A36" s="303" t="s">
        <v>199</v>
      </c>
      <c r="B36" s="302">
        <v>1420</v>
      </c>
      <c r="C36" s="321" t="s">
        <v>238</v>
      </c>
      <c r="D36" s="321"/>
      <c r="E36" s="331">
        <v>0</v>
      </c>
      <c r="F36" s="331"/>
      <c r="G36" s="331"/>
      <c r="H36" s="331"/>
      <c r="I36" s="331"/>
      <c r="J36" s="331"/>
      <c r="K36" s="331"/>
      <c r="L36" s="331">
        <v>0</v>
      </c>
      <c r="M36" s="338"/>
      <c r="N36" s="338"/>
      <c r="O36" s="298"/>
      <c r="P36" s="334"/>
      <c r="Q36" s="298"/>
      <c r="R36" s="334"/>
      <c r="S36" s="298"/>
      <c r="T36" s="298"/>
    </row>
    <row r="37" spans="1:20" s="320" customFormat="1" x14ac:dyDescent="0.25">
      <c r="A37" s="303" t="s">
        <v>236</v>
      </c>
      <c r="B37" s="302">
        <v>1430</v>
      </c>
      <c r="C37" s="321" t="s">
        <v>238</v>
      </c>
      <c r="D37" s="321"/>
      <c r="E37" s="331">
        <v>0</v>
      </c>
      <c r="F37" s="331"/>
      <c r="G37" s="331"/>
      <c r="H37" s="331"/>
      <c r="I37" s="331"/>
      <c r="J37" s="331"/>
      <c r="K37" s="331"/>
      <c r="L37" s="331"/>
      <c r="M37" s="331"/>
      <c r="N37" s="331">
        <v>0</v>
      </c>
      <c r="O37" s="319"/>
      <c r="P37" s="318"/>
      <c r="Q37" s="319"/>
      <c r="R37" s="318"/>
      <c r="S37" s="319"/>
      <c r="T37" s="319"/>
    </row>
    <row r="38" spans="1:20" s="317" customFormat="1" x14ac:dyDescent="0.25">
      <c r="A38" s="313" t="s">
        <v>237</v>
      </c>
      <c r="B38" s="322">
        <v>1500</v>
      </c>
      <c r="C38" s="323" t="s">
        <v>392</v>
      </c>
      <c r="D38" s="323"/>
      <c r="E38" s="335">
        <v>0</v>
      </c>
      <c r="F38" s="335">
        <v>0</v>
      </c>
      <c r="G38" s="335"/>
      <c r="H38" s="335">
        <v>0</v>
      </c>
      <c r="I38" s="335">
        <v>0</v>
      </c>
      <c r="J38" s="335">
        <v>0</v>
      </c>
      <c r="K38" s="335">
        <v>0</v>
      </c>
      <c r="L38" s="335">
        <v>0</v>
      </c>
      <c r="M38" s="335">
        <v>0</v>
      </c>
      <c r="N38" s="335">
        <v>0</v>
      </c>
      <c r="O38" s="316"/>
      <c r="P38" s="325"/>
      <c r="Q38" s="316"/>
      <c r="R38" s="325"/>
      <c r="S38" s="316"/>
      <c r="T38" s="316"/>
    </row>
    <row r="39" spans="1:20" s="320" customFormat="1" x14ac:dyDescent="0.25">
      <c r="A39" s="303" t="s">
        <v>182</v>
      </c>
      <c r="B39" s="302"/>
      <c r="C39" s="321"/>
      <c r="D39" s="321"/>
      <c r="E39" s="331"/>
      <c r="F39" s="331"/>
      <c r="G39" s="331"/>
      <c r="H39" s="338"/>
      <c r="I39" s="338"/>
      <c r="J39" s="338"/>
      <c r="K39" s="338"/>
      <c r="L39" s="338"/>
      <c r="M39" s="338"/>
      <c r="N39" s="338"/>
      <c r="O39" s="319"/>
      <c r="P39" s="318"/>
      <c r="Q39" s="319"/>
      <c r="R39" s="318"/>
      <c r="S39" s="319"/>
      <c r="T39" s="319"/>
    </row>
    <row r="40" spans="1:20" s="320" customFormat="1" x14ac:dyDescent="0.25">
      <c r="A40" s="303"/>
      <c r="B40" s="302"/>
      <c r="C40" s="321"/>
      <c r="D40" s="408"/>
      <c r="E40" s="366"/>
      <c r="F40" s="331"/>
      <c r="G40" s="338"/>
      <c r="H40" s="338"/>
      <c r="I40" s="338"/>
      <c r="J40" s="338"/>
      <c r="K40" s="338"/>
      <c r="L40" s="367"/>
      <c r="M40" s="402"/>
      <c r="N40" s="403"/>
      <c r="O40" s="319"/>
      <c r="P40" s="318"/>
      <c r="Q40" s="319"/>
      <c r="R40" s="318"/>
      <c r="S40" s="319"/>
      <c r="T40" s="319"/>
    </row>
    <row r="41" spans="1:20" s="317" customFormat="1" x14ac:dyDescent="0.25">
      <c r="A41" s="313" t="s">
        <v>421</v>
      </c>
      <c r="B41" s="322">
        <v>1900</v>
      </c>
      <c r="C41" s="322"/>
      <c r="D41" s="322"/>
      <c r="E41" s="335">
        <v>0</v>
      </c>
      <c r="F41" s="335">
        <v>0</v>
      </c>
      <c r="G41" s="335">
        <v>0</v>
      </c>
      <c r="H41" s="335">
        <v>0</v>
      </c>
      <c r="I41" s="335">
        <v>0</v>
      </c>
      <c r="J41" s="335">
        <v>0</v>
      </c>
      <c r="K41" s="335">
        <v>0</v>
      </c>
      <c r="L41" s="335">
        <v>0</v>
      </c>
      <c r="M41" s="405">
        <v>0</v>
      </c>
      <c r="N41" s="335"/>
      <c r="O41" s="336"/>
      <c r="P41" s="325"/>
      <c r="Q41" s="316"/>
      <c r="R41" s="325"/>
      <c r="S41" s="316"/>
      <c r="T41" s="316"/>
    </row>
    <row r="42" spans="1:20" s="320" customFormat="1" x14ac:dyDescent="0.25">
      <c r="A42" s="303" t="s">
        <v>182</v>
      </c>
      <c r="B42" s="302"/>
      <c r="C42" s="321"/>
      <c r="D42" s="408"/>
      <c r="E42" s="366"/>
      <c r="F42" s="331"/>
      <c r="G42" s="338"/>
      <c r="H42" s="338"/>
      <c r="I42" s="338"/>
      <c r="J42" s="338"/>
      <c r="K42" s="338"/>
      <c r="L42" s="367"/>
      <c r="M42" s="402"/>
      <c r="N42" s="403"/>
      <c r="O42" s="319"/>
      <c r="P42" s="318"/>
      <c r="Q42" s="319"/>
      <c r="R42" s="318"/>
      <c r="S42" s="319"/>
      <c r="T42" s="319"/>
    </row>
    <row r="43" spans="1:20" s="320" customFormat="1" x14ac:dyDescent="0.25">
      <c r="A43" s="303"/>
      <c r="B43" s="302"/>
      <c r="C43" s="321"/>
      <c r="D43" s="408"/>
      <c r="E43" s="366"/>
      <c r="F43" s="331"/>
      <c r="G43" s="338"/>
      <c r="H43" s="338"/>
      <c r="I43" s="338"/>
      <c r="J43" s="338"/>
      <c r="K43" s="338"/>
      <c r="L43" s="367"/>
      <c r="M43" s="402"/>
      <c r="N43" s="403"/>
      <c r="O43" s="319"/>
      <c r="P43" s="318"/>
      <c r="Q43" s="319"/>
      <c r="R43" s="318"/>
      <c r="S43" s="319"/>
      <c r="T43" s="319"/>
    </row>
    <row r="44" spans="1:20" s="317" customFormat="1" ht="18" x14ac:dyDescent="0.25">
      <c r="A44" s="313" t="s">
        <v>239</v>
      </c>
      <c r="B44" s="322">
        <v>1980</v>
      </c>
      <c r="C44" s="322" t="s">
        <v>190</v>
      </c>
      <c r="D44" s="322"/>
      <c r="E44" s="335">
        <v>0</v>
      </c>
      <c r="F44" s="335"/>
      <c r="G44" s="335"/>
      <c r="H44" s="335"/>
      <c r="I44" s="335"/>
      <c r="J44" s="335"/>
      <c r="K44" s="335"/>
      <c r="L44" s="335"/>
      <c r="M44" s="335"/>
      <c r="N44" s="339"/>
      <c r="O44" s="336"/>
      <c r="P44" s="325"/>
      <c r="Q44" s="316"/>
      <c r="R44" s="325"/>
      <c r="S44" s="316"/>
      <c r="T44" s="316"/>
    </row>
    <row r="45" spans="1:20" x14ac:dyDescent="0.25">
      <c r="A45" s="303" t="s">
        <v>187</v>
      </c>
      <c r="B45" s="302"/>
      <c r="C45" s="302"/>
      <c r="D45" s="302"/>
      <c r="E45" s="305"/>
      <c r="F45" s="305"/>
      <c r="G45" s="305"/>
      <c r="H45" s="305"/>
      <c r="I45" s="305"/>
      <c r="J45" s="305"/>
      <c r="K45" s="305"/>
      <c r="L45" s="305"/>
      <c r="M45" s="305"/>
      <c r="N45" s="305"/>
      <c r="O45" s="298"/>
      <c r="P45" s="334"/>
      <c r="Q45" s="298"/>
      <c r="R45" s="334"/>
      <c r="S45" s="298"/>
      <c r="T45" s="298"/>
    </row>
    <row r="46" spans="1:20" s="320" customFormat="1" ht="36.75" customHeight="1" x14ac:dyDescent="0.25">
      <c r="A46" s="303" t="s">
        <v>240</v>
      </c>
      <c r="B46" s="302">
        <v>1981</v>
      </c>
      <c r="C46" s="321" t="s">
        <v>241</v>
      </c>
      <c r="D46" s="321"/>
      <c r="E46" s="340">
        <v>0</v>
      </c>
      <c r="F46" s="340"/>
      <c r="G46" s="340"/>
      <c r="H46" s="340"/>
      <c r="I46" s="340"/>
      <c r="J46" s="340"/>
      <c r="K46" s="340"/>
      <c r="L46" s="340"/>
      <c r="M46" s="340"/>
      <c r="N46" s="340"/>
      <c r="O46" s="319"/>
      <c r="P46" s="318"/>
      <c r="Q46" s="319"/>
      <c r="R46" s="318"/>
      <c r="S46" s="319"/>
      <c r="T46" s="319"/>
    </row>
    <row r="47" spans="1:20" x14ac:dyDescent="0.25">
      <c r="A47" s="303"/>
      <c r="B47" s="302"/>
      <c r="C47" s="302"/>
      <c r="D47" s="302"/>
      <c r="E47" s="305"/>
      <c r="F47" s="305"/>
      <c r="G47" s="305"/>
      <c r="H47" s="305"/>
      <c r="I47" s="305"/>
      <c r="J47" s="305"/>
      <c r="K47" s="305"/>
      <c r="L47" s="305"/>
      <c r="M47" s="305"/>
      <c r="N47" s="305"/>
      <c r="O47" s="298"/>
      <c r="P47" s="334"/>
      <c r="Q47" s="298"/>
      <c r="R47" s="334"/>
      <c r="S47" s="298"/>
      <c r="T47" s="298"/>
    </row>
    <row r="48" spans="1:20" s="312" customFormat="1" x14ac:dyDescent="0.25">
      <c r="A48" s="308" t="s">
        <v>242</v>
      </c>
      <c r="B48" s="341">
        <v>2000</v>
      </c>
      <c r="C48" s="341" t="s">
        <v>190</v>
      </c>
      <c r="D48" s="341"/>
      <c r="E48" s="342">
        <v>42529200</v>
      </c>
      <c r="F48" s="342">
        <v>38839400</v>
      </c>
      <c r="G48" s="342"/>
      <c r="H48" s="342">
        <v>853300</v>
      </c>
      <c r="I48" s="342">
        <v>0</v>
      </c>
      <c r="J48" s="342">
        <v>210600</v>
      </c>
      <c r="K48" s="342">
        <v>0</v>
      </c>
      <c r="L48" s="342">
        <v>0</v>
      </c>
      <c r="M48" s="342">
        <v>2625900</v>
      </c>
      <c r="N48" s="342">
        <v>0</v>
      </c>
      <c r="O48" s="343"/>
      <c r="P48" s="344"/>
      <c r="Q48" s="343"/>
      <c r="R48" s="344"/>
      <c r="S48" s="343"/>
      <c r="T48" s="343"/>
    </row>
    <row r="49" spans="1:20" x14ac:dyDescent="0.25">
      <c r="A49" s="303" t="s">
        <v>182</v>
      </c>
      <c r="B49" s="302"/>
      <c r="C49" s="302"/>
      <c r="D49" s="302"/>
      <c r="E49" s="305"/>
      <c r="F49" s="305"/>
      <c r="G49" s="305"/>
      <c r="H49" s="305"/>
      <c r="I49" s="305"/>
      <c r="J49" s="305"/>
      <c r="K49" s="305"/>
      <c r="L49" s="305"/>
      <c r="M49" s="305"/>
      <c r="N49" s="305"/>
      <c r="O49" s="298"/>
      <c r="P49" s="334"/>
      <c r="Q49" s="298"/>
      <c r="R49" s="334"/>
      <c r="S49" s="298"/>
      <c r="T49" s="298"/>
    </row>
    <row r="50" spans="1:20" s="317" customFormat="1" ht="36.75" customHeight="1" x14ac:dyDescent="0.25">
      <c r="A50" s="313" t="s">
        <v>243</v>
      </c>
      <c r="B50" s="322">
        <v>2100</v>
      </c>
      <c r="C50" s="322" t="s">
        <v>190</v>
      </c>
      <c r="D50" s="322"/>
      <c r="E50" s="324">
        <v>36048100</v>
      </c>
      <c r="F50" s="324">
        <v>34762600</v>
      </c>
      <c r="G50" s="324"/>
      <c r="H50" s="324">
        <v>853300</v>
      </c>
      <c r="I50" s="324">
        <v>0</v>
      </c>
      <c r="J50" s="324">
        <v>210600</v>
      </c>
      <c r="K50" s="324">
        <v>0</v>
      </c>
      <c r="L50" s="324">
        <v>0</v>
      </c>
      <c r="M50" s="324">
        <v>221600</v>
      </c>
      <c r="N50" s="324">
        <v>0</v>
      </c>
      <c r="O50" s="316"/>
      <c r="P50" s="325"/>
      <c r="Q50" s="316"/>
      <c r="R50" s="325"/>
      <c r="S50" s="316"/>
      <c r="T50" s="316"/>
    </row>
    <row r="51" spans="1:20" ht="20.25" customHeight="1" x14ac:dyDescent="0.25">
      <c r="A51" s="303" t="s">
        <v>182</v>
      </c>
      <c r="B51" s="302"/>
      <c r="C51" s="302"/>
      <c r="D51" s="302"/>
      <c r="E51" s="305"/>
      <c r="F51" s="305"/>
      <c r="G51" s="305"/>
      <c r="H51" s="305"/>
      <c r="I51" s="305"/>
      <c r="J51" s="305"/>
      <c r="K51" s="305"/>
      <c r="L51" s="305"/>
      <c r="M51" s="305"/>
      <c r="N51" s="305"/>
      <c r="O51" s="298"/>
      <c r="P51" s="334"/>
      <c r="Q51" s="298"/>
      <c r="R51" s="334"/>
      <c r="S51" s="298"/>
      <c r="T51" s="298"/>
    </row>
    <row r="52" spans="1:20" ht="20.25" customHeight="1" x14ac:dyDescent="0.25">
      <c r="A52" s="303" t="s">
        <v>244</v>
      </c>
      <c r="B52" s="302">
        <v>2110</v>
      </c>
      <c r="C52" s="302">
        <v>111</v>
      </c>
      <c r="D52" s="302"/>
      <c r="E52" s="305">
        <v>26597500</v>
      </c>
      <c r="F52" s="305">
        <v>26597500</v>
      </c>
      <c r="G52" s="305"/>
      <c r="H52" s="305"/>
      <c r="I52" s="305"/>
      <c r="J52" s="305"/>
      <c r="K52" s="305"/>
      <c r="L52" s="305"/>
      <c r="M52" s="305">
        <v>0</v>
      </c>
      <c r="N52" s="305"/>
      <c r="O52" s="298"/>
      <c r="P52" s="334"/>
      <c r="Q52" s="298"/>
      <c r="R52" s="334"/>
      <c r="S52" s="298"/>
      <c r="T52" s="298"/>
    </row>
    <row r="53" spans="1:20" ht="33.75" customHeight="1" x14ac:dyDescent="0.25">
      <c r="A53" s="303" t="s">
        <v>245</v>
      </c>
      <c r="B53" s="302">
        <v>2120</v>
      </c>
      <c r="C53" s="302">
        <v>112</v>
      </c>
      <c r="D53" s="302"/>
      <c r="E53" s="305">
        <v>1080500</v>
      </c>
      <c r="F53" s="305">
        <v>5600</v>
      </c>
      <c r="G53" s="305"/>
      <c r="H53" s="305">
        <v>853300</v>
      </c>
      <c r="I53" s="305"/>
      <c r="J53" s="305"/>
      <c r="K53" s="305"/>
      <c r="L53" s="305"/>
      <c r="M53" s="305">
        <v>221600</v>
      </c>
      <c r="N53" s="305"/>
      <c r="O53" s="298"/>
      <c r="P53" s="334"/>
      <c r="Q53" s="298"/>
      <c r="R53" s="334"/>
      <c r="S53" s="298"/>
      <c r="T53" s="298"/>
    </row>
    <row r="54" spans="1:20" ht="31.2" x14ac:dyDescent="0.25">
      <c r="A54" s="303" t="s">
        <v>246</v>
      </c>
      <c r="B54" s="302">
        <v>2130</v>
      </c>
      <c r="C54" s="302">
        <v>113</v>
      </c>
      <c r="D54" s="302"/>
      <c r="E54" s="305">
        <v>399200</v>
      </c>
      <c r="F54" s="305">
        <v>188600</v>
      </c>
      <c r="G54" s="305"/>
      <c r="H54" s="305"/>
      <c r="I54" s="305"/>
      <c r="J54" s="305">
        <v>210600</v>
      </c>
      <c r="K54" s="305"/>
      <c r="L54" s="305"/>
      <c r="M54" s="305">
        <v>0</v>
      </c>
      <c r="N54" s="305">
        <v>0</v>
      </c>
      <c r="O54" s="298"/>
      <c r="P54" s="334"/>
      <c r="Q54" s="298"/>
      <c r="R54" s="334"/>
      <c r="S54" s="298"/>
      <c r="T54" s="298"/>
    </row>
    <row r="55" spans="1:20" ht="31.2" x14ac:dyDescent="0.25">
      <c r="A55" s="303" t="s">
        <v>247</v>
      </c>
      <c r="B55" s="302">
        <v>2140</v>
      </c>
      <c r="C55" s="302">
        <v>119</v>
      </c>
      <c r="D55" s="302"/>
      <c r="E55" s="305">
        <v>7970900</v>
      </c>
      <c r="F55" s="348">
        <v>7970900</v>
      </c>
      <c r="G55" s="348"/>
      <c r="H55" s="305"/>
      <c r="I55" s="305"/>
      <c r="J55" s="305"/>
      <c r="K55" s="305"/>
      <c r="L55" s="305"/>
      <c r="M55" s="305">
        <v>0</v>
      </c>
      <c r="N55" s="305"/>
      <c r="O55" s="298"/>
      <c r="P55" s="334"/>
      <c r="Q55" s="298"/>
      <c r="R55" s="334"/>
      <c r="S55" s="298"/>
      <c r="T55" s="298"/>
    </row>
    <row r="56" spans="1:20" x14ac:dyDescent="0.25">
      <c r="A56" s="303" t="s">
        <v>182</v>
      </c>
      <c r="B56" s="302"/>
      <c r="C56" s="302"/>
      <c r="D56" s="302"/>
      <c r="E56" s="305"/>
      <c r="F56" s="305"/>
      <c r="G56" s="305"/>
      <c r="H56" s="305"/>
      <c r="I56" s="305"/>
      <c r="J56" s="305"/>
      <c r="K56" s="305"/>
      <c r="L56" s="305"/>
      <c r="M56" s="305"/>
      <c r="N56" s="305"/>
      <c r="O56" s="298"/>
      <c r="P56" s="334"/>
      <c r="Q56" s="298"/>
      <c r="R56" s="334"/>
      <c r="S56" s="298"/>
      <c r="T56" s="298"/>
    </row>
    <row r="57" spans="1:20" x14ac:dyDescent="0.25">
      <c r="A57" s="303" t="s">
        <v>248</v>
      </c>
      <c r="B57" s="302">
        <v>2141</v>
      </c>
      <c r="C57" s="302">
        <v>119</v>
      </c>
      <c r="D57" s="302"/>
      <c r="E57" s="305">
        <v>7970900</v>
      </c>
      <c r="F57" s="305">
        <v>7970900</v>
      </c>
      <c r="G57" s="305"/>
      <c r="H57" s="305"/>
      <c r="I57" s="305"/>
      <c r="J57" s="305"/>
      <c r="K57" s="305"/>
      <c r="L57" s="305"/>
      <c r="M57" s="305">
        <v>0</v>
      </c>
      <c r="N57" s="305"/>
      <c r="O57" s="298"/>
      <c r="P57" s="334"/>
      <c r="Q57" s="298"/>
      <c r="R57" s="334"/>
      <c r="S57" s="298"/>
      <c r="T57" s="298"/>
    </row>
    <row r="58" spans="1:20" x14ac:dyDescent="0.25">
      <c r="A58" s="303" t="s">
        <v>249</v>
      </c>
      <c r="B58" s="302">
        <v>2142</v>
      </c>
      <c r="C58" s="302">
        <v>119</v>
      </c>
      <c r="D58" s="302"/>
      <c r="E58" s="305"/>
      <c r="F58" s="305"/>
      <c r="G58" s="305"/>
      <c r="H58" s="305"/>
      <c r="I58" s="305"/>
      <c r="J58" s="305"/>
      <c r="K58" s="305"/>
      <c r="L58" s="305"/>
      <c r="M58" s="305"/>
      <c r="N58" s="305"/>
      <c r="O58" s="298"/>
      <c r="P58" s="334"/>
      <c r="Q58" s="298"/>
      <c r="R58" s="334"/>
      <c r="S58" s="298"/>
      <c r="T58" s="298"/>
    </row>
    <row r="59" spans="1:20" s="317" customFormat="1" x14ac:dyDescent="0.25">
      <c r="A59" s="313" t="s">
        <v>250</v>
      </c>
      <c r="B59" s="322">
        <v>2200</v>
      </c>
      <c r="C59" s="322">
        <v>300</v>
      </c>
      <c r="D59" s="322"/>
      <c r="E59" s="324">
        <v>0</v>
      </c>
      <c r="F59" s="324">
        <v>0</v>
      </c>
      <c r="G59" s="324"/>
      <c r="H59" s="324">
        <v>0</v>
      </c>
      <c r="I59" s="324">
        <v>0</v>
      </c>
      <c r="J59" s="324">
        <v>0</v>
      </c>
      <c r="K59" s="324">
        <v>0</v>
      </c>
      <c r="L59" s="324">
        <v>0</v>
      </c>
      <c r="M59" s="324">
        <v>0</v>
      </c>
      <c r="N59" s="324">
        <v>0</v>
      </c>
      <c r="O59" s="316"/>
      <c r="P59" s="325"/>
      <c r="Q59" s="316"/>
      <c r="R59" s="325"/>
      <c r="S59" s="316"/>
      <c r="T59" s="316"/>
    </row>
    <row r="60" spans="1:20" x14ac:dyDescent="0.25">
      <c r="A60" s="303" t="s">
        <v>182</v>
      </c>
      <c r="B60" s="302"/>
      <c r="C60" s="302"/>
      <c r="D60" s="302"/>
      <c r="E60" s="305"/>
      <c r="F60" s="305"/>
      <c r="G60" s="305"/>
      <c r="H60" s="305"/>
      <c r="I60" s="305"/>
      <c r="J60" s="305"/>
      <c r="K60" s="305"/>
      <c r="L60" s="305"/>
      <c r="M60" s="305"/>
      <c r="N60" s="305"/>
      <c r="O60" s="298"/>
      <c r="P60" s="334"/>
      <c r="Q60" s="298"/>
      <c r="R60" s="334"/>
      <c r="S60" s="298"/>
      <c r="T60" s="298"/>
    </row>
    <row r="61" spans="1:20" x14ac:dyDescent="0.25">
      <c r="A61" s="303" t="s">
        <v>251</v>
      </c>
      <c r="B61" s="302">
        <v>2210</v>
      </c>
      <c r="C61" s="302">
        <v>320</v>
      </c>
      <c r="D61" s="302"/>
      <c r="E61" s="305">
        <v>0</v>
      </c>
      <c r="F61" s="305"/>
      <c r="G61" s="305"/>
      <c r="H61" s="305"/>
      <c r="I61" s="305"/>
      <c r="J61" s="305"/>
      <c r="K61" s="305"/>
      <c r="L61" s="305"/>
      <c r="M61" s="305"/>
      <c r="N61" s="305"/>
      <c r="O61" s="298"/>
      <c r="P61" s="334"/>
      <c r="Q61" s="298"/>
      <c r="R61" s="334"/>
      <c r="S61" s="298"/>
      <c r="T61" s="298"/>
    </row>
    <row r="62" spans="1:20" ht="54.75" customHeight="1" x14ac:dyDescent="0.25">
      <c r="A62" s="303" t="s">
        <v>252</v>
      </c>
      <c r="B62" s="302">
        <v>2211</v>
      </c>
      <c r="C62" s="302">
        <v>321</v>
      </c>
      <c r="D62" s="302"/>
      <c r="E62" s="305">
        <v>0</v>
      </c>
      <c r="F62" s="305"/>
      <c r="G62" s="305"/>
      <c r="H62" s="305">
        <v>0</v>
      </c>
      <c r="I62" s="305"/>
      <c r="J62" s="305"/>
      <c r="K62" s="305"/>
      <c r="L62" s="305"/>
      <c r="M62" s="305"/>
      <c r="N62" s="305"/>
      <c r="O62" s="298"/>
      <c r="P62" s="334"/>
      <c r="Q62" s="298"/>
      <c r="R62" s="334"/>
      <c r="S62" s="298"/>
      <c r="T62" s="298"/>
    </row>
    <row r="63" spans="1:20" ht="31.2" x14ac:dyDescent="0.25">
      <c r="A63" s="303" t="s">
        <v>422</v>
      </c>
      <c r="B63" s="302">
        <v>2220</v>
      </c>
      <c r="C63" s="302">
        <v>340</v>
      </c>
      <c r="D63" s="302"/>
      <c r="E63" s="305"/>
      <c r="F63" s="305"/>
      <c r="G63" s="305"/>
      <c r="H63" s="396"/>
      <c r="I63" s="305"/>
      <c r="J63" s="305"/>
      <c r="K63" s="305"/>
      <c r="L63" s="305"/>
      <c r="M63" s="305"/>
      <c r="N63" s="305"/>
      <c r="O63" s="298"/>
      <c r="P63" s="334"/>
      <c r="Q63" s="298"/>
      <c r="R63" s="334"/>
      <c r="S63" s="298"/>
      <c r="T63" s="298"/>
    </row>
    <row r="64" spans="1:20" ht="46.8" x14ac:dyDescent="0.25">
      <c r="A64" s="303" t="s">
        <v>423</v>
      </c>
      <c r="B64" s="302">
        <v>2230</v>
      </c>
      <c r="C64" s="302">
        <v>350</v>
      </c>
      <c r="D64" s="302"/>
      <c r="E64" s="305"/>
      <c r="F64" s="305"/>
      <c r="G64" s="305"/>
      <c r="H64" s="396"/>
      <c r="I64" s="305"/>
      <c r="J64" s="305"/>
      <c r="K64" s="305"/>
      <c r="L64" s="305"/>
      <c r="M64" s="305"/>
      <c r="N64" s="305"/>
      <c r="O64" s="298"/>
      <c r="P64" s="334"/>
      <c r="Q64" s="298"/>
      <c r="R64" s="334"/>
      <c r="S64" s="298"/>
      <c r="T64" s="298"/>
    </row>
    <row r="65" spans="1:20" x14ac:dyDescent="0.25">
      <c r="A65" s="303" t="s">
        <v>424</v>
      </c>
      <c r="B65" s="302">
        <v>2240</v>
      </c>
      <c r="C65" s="302">
        <v>360</v>
      </c>
      <c r="D65" s="302"/>
      <c r="E65" s="305"/>
      <c r="F65" s="305"/>
      <c r="G65" s="305"/>
      <c r="H65" s="396"/>
      <c r="I65" s="305"/>
      <c r="J65" s="305"/>
      <c r="K65" s="305"/>
      <c r="L65" s="305"/>
      <c r="M65" s="305"/>
      <c r="N65" s="305"/>
      <c r="O65" s="298"/>
      <c r="P65" s="334"/>
      <c r="Q65" s="298"/>
      <c r="R65" s="334"/>
      <c r="S65" s="298"/>
      <c r="T65" s="298"/>
    </row>
    <row r="66" spans="1:20" s="317" customFormat="1" x14ac:dyDescent="0.25">
      <c r="A66" s="313" t="s">
        <v>253</v>
      </c>
      <c r="B66" s="322">
        <v>2300</v>
      </c>
      <c r="C66" s="322">
        <v>850</v>
      </c>
      <c r="D66" s="322"/>
      <c r="E66" s="324">
        <v>0</v>
      </c>
      <c r="F66" s="324">
        <v>0</v>
      </c>
      <c r="G66" s="324"/>
      <c r="H66" s="324">
        <v>0</v>
      </c>
      <c r="I66" s="324">
        <v>0</v>
      </c>
      <c r="J66" s="324">
        <v>0</v>
      </c>
      <c r="K66" s="324">
        <v>0</v>
      </c>
      <c r="L66" s="324">
        <v>0</v>
      </c>
      <c r="M66" s="324">
        <v>0</v>
      </c>
      <c r="N66" s="324">
        <v>0</v>
      </c>
      <c r="O66" s="316"/>
      <c r="P66" s="325"/>
      <c r="Q66" s="316"/>
      <c r="R66" s="325"/>
      <c r="S66" s="316"/>
      <c r="T66" s="316"/>
    </row>
    <row r="67" spans="1:20" ht="31.2" x14ac:dyDescent="0.25">
      <c r="A67" s="303" t="s">
        <v>254</v>
      </c>
      <c r="B67" s="302">
        <v>2310</v>
      </c>
      <c r="C67" s="302">
        <v>851</v>
      </c>
      <c r="D67" s="302"/>
      <c r="E67" s="305">
        <v>0</v>
      </c>
      <c r="F67" s="305"/>
      <c r="G67" s="305"/>
      <c r="H67" s="305"/>
      <c r="I67" s="305"/>
      <c r="J67" s="305"/>
      <c r="K67" s="305"/>
      <c r="L67" s="305"/>
      <c r="M67" s="305"/>
      <c r="N67" s="305"/>
      <c r="O67" s="298"/>
      <c r="P67" s="334"/>
      <c r="Q67" s="298"/>
      <c r="R67" s="334"/>
      <c r="S67" s="298"/>
      <c r="T67" s="298"/>
    </row>
    <row r="68" spans="1:20" ht="31.2" x14ac:dyDescent="0.25">
      <c r="A68" s="303" t="s">
        <v>255</v>
      </c>
      <c r="B68" s="302">
        <v>2320</v>
      </c>
      <c r="C68" s="302">
        <v>852</v>
      </c>
      <c r="D68" s="302"/>
      <c r="E68" s="305">
        <v>0</v>
      </c>
      <c r="F68" s="305"/>
      <c r="G68" s="305"/>
      <c r="H68" s="305"/>
      <c r="I68" s="305"/>
      <c r="J68" s="305"/>
      <c r="K68" s="305"/>
      <c r="L68" s="305"/>
      <c r="M68" s="305"/>
      <c r="N68" s="305"/>
      <c r="O68" s="298"/>
      <c r="P68" s="334"/>
      <c r="Q68" s="298"/>
      <c r="R68" s="334"/>
      <c r="S68" s="298"/>
      <c r="T68" s="298"/>
    </row>
    <row r="69" spans="1:20" x14ac:dyDescent="0.25">
      <c r="A69" s="303" t="s">
        <v>256</v>
      </c>
      <c r="B69" s="302">
        <v>2330</v>
      </c>
      <c r="C69" s="302">
        <v>853</v>
      </c>
      <c r="D69" s="302"/>
      <c r="E69" s="305">
        <v>0</v>
      </c>
      <c r="F69" s="305"/>
      <c r="G69" s="305"/>
      <c r="H69" s="305"/>
      <c r="I69" s="305"/>
      <c r="J69" s="305"/>
      <c r="K69" s="305"/>
      <c r="L69" s="305"/>
      <c r="M69" s="305"/>
      <c r="N69" s="305"/>
      <c r="O69" s="298"/>
      <c r="P69" s="334"/>
      <c r="Q69" s="298"/>
      <c r="R69" s="334"/>
      <c r="S69" s="298"/>
      <c r="T69" s="298"/>
    </row>
    <row r="70" spans="1:20" s="317" customFormat="1" x14ac:dyDescent="0.25">
      <c r="A70" s="313" t="s">
        <v>257</v>
      </c>
      <c r="B70" s="322">
        <v>2400</v>
      </c>
      <c r="C70" s="322" t="s">
        <v>190</v>
      </c>
      <c r="D70" s="322"/>
      <c r="E70" s="324">
        <v>0</v>
      </c>
      <c r="F70" s="324">
        <v>0</v>
      </c>
      <c r="G70" s="324"/>
      <c r="H70" s="324">
        <v>0</v>
      </c>
      <c r="I70" s="324">
        <v>0</v>
      </c>
      <c r="J70" s="324">
        <v>0</v>
      </c>
      <c r="K70" s="324">
        <v>0</v>
      </c>
      <c r="L70" s="324">
        <v>0</v>
      </c>
      <c r="M70" s="324">
        <v>0</v>
      </c>
      <c r="N70" s="324">
        <v>0</v>
      </c>
      <c r="O70" s="316"/>
      <c r="P70" s="325"/>
      <c r="Q70" s="316"/>
      <c r="R70" s="325"/>
      <c r="S70" s="316"/>
      <c r="T70" s="316"/>
    </row>
    <row r="71" spans="1:20" ht="46.8" x14ac:dyDescent="0.25">
      <c r="A71" s="363" t="s">
        <v>386</v>
      </c>
      <c r="B71" s="302">
        <v>2410</v>
      </c>
      <c r="C71" s="302">
        <v>613</v>
      </c>
      <c r="D71" s="302"/>
      <c r="E71" s="305">
        <v>0</v>
      </c>
      <c r="F71" s="305"/>
      <c r="G71" s="305"/>
      <c r="H71" s="305"/>
      <c r="I71" s="305"/>
      <c r="J71" s="305"/>
      <c r="K71" s="305"/>
      <c r="L71" s="305"/>
      <c r="M71" s="305"/>
      <c r="N71" s="305"/>
      <c r="O71" s="298"/>
      <c r="P71" s="334"/>
      <c r="Q71" s="298"/>
      <c r="R71" s="334"/>
      <c r="S71" s="298"/>
      <c r="T71" s="298"/>
    </row>
    <row r="72" spans="1:20" x14ac:dyDescent="0.25">
      <c r="A72" s="303" t="s">
        <v>387</v>
      </c>
      <c r="B72" s="302">
        <v>2420</v>
      </c>
      <c r="C72" s="302">
        <v>623</v>
      </c>
      <c r="D72" s="302"/>
      <c r="E72" s="305">
        <v>0</v>
      </c>
      <c r="F72" s="305"/>
      <c r="G72" s="305"/>
      <c r="H72" s="305"/>
      <c r="I72" s="305"/>
      <c r="J72" s="305"/>
      <c r="K72" s="305"/>
      <c r="L72" s="305"/>
      <c r="M72" s="305"/>
      <c r="N72" s="305"/>
      <c r="O72" s="298"/>
      <c r="P72" s="334"/>
      <c r="Q72" s="298"/>
      <c r="R72" s="334"/>
      <c r="S72" s="298"/>
      <c r="T72" s="298"/>
    </row>
    <row r="73" spans="1:20" ht="31.2" x14ac:dyDescent="0.25">
      <c r="A73" s="303" t="s">
        <v>425</v>
      </c>
      <c r="B73" s="302">
        <v>2430</v>
      </c>
      <c r="C73" s="302">
        <v>634</v>
      </c>
      <c r="D73" s="373">
        <v>634</v>
      </c>
      <c r="E73" s="305"/>
      <c r="F73" s="305"/>
      <c r="G73" s="305"/>
      <c r="H73" s="305"/>
      <c r="I73" s="305"/>
      <c r="J73" s="305"/>
      <c r="K73" s="305"/>
      <c r="L73" s="305"/>
      <c r="M73" s="406"/>
      <c r="N73" s="305"/>
      <c r="O73" s="298"/>
      <c r="P73" s="334"/>
      <c r="Q73" s="298"/>
      <c r="R73" s="334"/>
      <c r="S73" s="298"/>
      <c r="T73" s="298"/>
    </row>
    <row r="74" spans="1:20" x14ac:dyDescent="0.25">
      <c r="A74" s="303" t="s">
        <v>426</v>
      </c>
      <c r="B74" s="302">
        <v>2440</v>
      </c>
      <c r="C74" s="302">
        <v>810</v>
      </c>
      <c r="D74" s="373">
        <v>810</v>
      </c>
      <c r="E74" s="305"/>
      <c r="F74" s="305"/>
      <c r="G74" s="305"/>
      <c r="H74" s="305"/>
      <c r="I74" s="305"/>
      <c r="J74" s="305"/>
      <c r="K74" s="305"/>
      <c r="L74" s="305"/>
      <c r="M74" s="406"/>
      <c r="N74" s="305"/>
      <c r="O74" s="298"/>
      <c r="P74" s="334"/>
      <c r="Q74" s="298"/>
      <c r="R74" s="334"/>
      <c r="S74" s="298"/>
      <c r="T74" s="298"/>
    </row>
    <row r="75" spans="1:20" x14ac:dyDescent="0.25">
      <c r="A75" s="303" t="s">
        <v>258</v>
      </c>
      <c r="B75" s="302">
        <v>2450</v>
      </c>
      <c r="C75" s="302">
        <v>862</v>
      </c>
      <c r="D75" s="373">
        <v>862</v>
      </c>
      <c r="E75" s="305"/>
      <c r="F75" s="305"/>
      <c r="G75" s="305"/>
      <c r="H75" s="305"/>
      <c r="I75" s="305"/>
      <c r="J75" s="305"/>
      <c r="K75" s="305"/>
      <c r="L75" s="305"/>
      <c r="M75" s="406"/>
      <c r="N75" s="305"/>
      <c r="O75" s="298"/>
      <c r="P75" s="334"/>
      <c r="Q75" s="298"/>
      <c r="R75" s="334"/>
      <c r="S75" s="298"/>
      <c r="T75" s="298"/>
    </row>
    <row r="76" spans="1:20" ht="45.75" customHeight="1" x14ac:dyDescent="0.25">
      <c r="A76" s="303" t="s">
        <v>427</v>
      </c>
      <c r="B76" s="302">
        <v>2460</v>
      </c>
      <c r="C76" s="302">
        <v>863</v>
      </c>
      <c r="D76" s="373">
        <v>863</v>
      </c>
      <c r="E76" s="305"/>
      <c r="F76" s="305"/>
      <c r="G76" s="305"/>
      <c r="H76" s="305"/>
      <c r="I76" s="305"/>
      <c r="J76" s="305"/>
      <c r="K76" s="305"/>
      <c r="L76" s="305"/>
      <c r="M76" s="406"/>
      <c r="N76" s="305"/>
      <c r="O76" s="298"/>
      <c r="P76" s="334"/>
      <c r="Q76" s="298"/>
      <c r="R76" s="334"/>
      <c r="S76" s="298"/>
      <c r="T76" s="298"/>
    </row>
    <row r="77" spans="1:20" s="317" customFormat="1" x14ac:dyDescent="0.25">
      <c r="A77" s="313" t="s">
        <v>259</v>
      </c>
      <c r="B77" s="322">
        <v>2500</v>
      </c>
      <c r="C77" s="322" t="s">
        <v>190</v>
      </c>
      <c r="D77" s="322"/>
      <c r="E77" s="324">
        <v>0</v>
      </c>
      <c r="F77" s="324">
        <v>0</v>
      </c>
      <c r="G77" s="324"/>
      <c r="H77" s="324">
        <v>0</v>
      </c>
      <c r="I77" s="324">
        <v>0</v>
      </c>
      <c r="J77" s="324">
        <v>0</v>
      </c>
      <c r="K77" s="324">
        <v>0</v>
      </c>
      <c r="L77" s="324">
        <v>0</v>
      </c>
      <c r="M77" s="324">
        <v>0</v>
      </c>
      <c r="N77" s="324">
        <v>0</v>
      </c>
      <c r="O77" s="316"/>
      <c r="P77" s="325"/>
      <c r="Q77" s="316"/>
      <c r="R77" s="325"/>
      <c r="S77" s="316"/>
      <c r="T77" s="316"/>
    </row>
    <row r="78" spans="1:20" ht="31.2" x14ac:dyDescent="0.25">
      <c r="A78" s="303" t="s">
        <v>260</v>
      </c>
      <c r="B78" s="302">
        <v>252</v>
      </c>
      <c r="C78" s="302">
        <v>831</v>
      </c>
      <c r="D78" s="302"/>
      <c r="E78" s="305">
        <v>0</v>
      </c>
      <c r="F78" s="305"/>
      <c r="G78" s="305"/>
      <c r="H78" s="305"/>
      <c r="I78" s="305"/>
      <c r="J78" s="305"/>
      <c r="K78" s="305"/>
      <c r="L78" s="305"/>
      <c r="M78" s="305"/>
      <c r="N78" s="305"/>
      <c r="O78" s="298"/>
      <c r="P78" s="334"/>
      <c r="Q78" s="298"/>
      <c r="R78" s="334"/>
      <c r="S78" s="298"/>
      <c r="T78" s="298"/>
    </row>
    <row r="79" spans="1:20" s="317" customFormat="1" ht="18" x14ac:dyDescent="0.25">
      <c r="A79" s="313" t="s">
        <v>261</v>
      </c>
      <c r="B79" s="322">
        <v>2600</v>
      </c>
      <c r="C79" s="322" t="s">
        <v>190</v>
      </c>
      <c r="D79" s="322"/>
      <c r="E79" s="324">
        <v>6481100</v>
      </c>
      <c r="F79" s="324">
        <v>4076800</v>
      </c>
      <c r="G79" s="324"/>
      <c r="H79" s="324">
        <v>0</v>
      </c>
      <c r="I79" s="324">
        <v>0</v>
      </c>
      <c r="J79" s="324">
        <v>0</v>
      </c>
      <c r="K79" s="324">
        <v>0</v>
      </c>
      <c r="L79" s="324">
        <v>0</v>
      </c>
      <c r="M79" s="324">
        <v>2404300</v>
      </c>
      <c r="N79" s="324">
        <v>0</v>
      </c>
      <c r="O79" s="316"/>
      <c r="P79" s="325"/>
      <c r="Q79" s="316"/>
      <c r="R79" s="325"/>
      <c r="S79" s="316"/>
      <c r="T79" s="316"/>
    </row>
    <row r="80" spans="1:20" ht="31.2" x14ac:dyDescent="0.25">
      <c r="A80" s="303" t="s">
        <v>262</v>
      </c>
      <c r="B80" s="302">
        <v>2610</v>
      </c>
      <c r="C80" s="302">
        <v>241</v>
      </c>
      <c r="D80" s="302"/>
      <c r="E80" s="305">
        <v>0</v>
      </c>
      <c r="F80" s="305"/>
      <c r="G80" s="305"/>
      <c r="H80" s="305"/>
      <c r="I80" s="305"/>
      <c r="J80" s="305"/>
      <c r="K80" s="305"/>
      <c r="L80" s="305"/>
      <c r="M80" s="305"/>
      <c r="N80" s="305"/>
      <c r="O80" s="298"/>
      <c r="P80" s="334"/>
      <c r="Q80" s="298"/>
      <c r="R80" s="334"/>
      <c r="S80" s="298"/>
      <c r="T80" s="298"/>
    </row>
    <row r="81" spans="1:20" x14ac:dyDescent="0.25">
      <c r="A81" s="303" t="s">
        <v>263</v>
      </c>
      <c r="B81" s="302">
        <v>2620</v>
      </c>
      <c r="C81" s="302">
        <v>242</v>
      </c>
      <c r="D81" s="302"/>
      <c r="E81" s="305">
        <v>0</v>
      </c>
      <c r="F81" s="305"/>
      <c r="G81" s="305"/>
      <c r="H81" s="305"/>
      <c r="I81" s="305"/>
      <c r="J81" s="305"/>
      <c r="K81" s="305"/>
      <c r="L81" s="305"/>
      <c r="M81" s="305"/>
      <c r="N81" s="305"/>
      <c r="O81" s="298"/>
      <c r="P81" s="334"/>
      <c r="Q81" s="298"/>
      <c r="R81" s="334"/>
      <c r="S81" s="298"/>
      <c r="T81" s="298"/>
    </row>
    <row r="82" spans="1:20" ht="31.2" x14ac:dyDescent="0.25">
      <c r="A82" s="303" t="s">
        <v>264</v>
      </c>
      <c r="B82" s="302">
        <v>2630</v>
      </c>
      <c r="C82" s="302">
        <v>243</v>
      </c>
      <c r="D82" s="302"/>
      <c r="E82" s="305">
        <v>0</v>
      </c>
      <c r="F82" s="305"/>
      <c r="G82" s="305"/>
      <c r="H82" s="305"/>
      <c r="I82" s="305"/>
      <c r="J82" s="305"/>
      <c r="K82" s="305"/>
      <c r="L82" s="305"/>
      <c r="M82" s="305"/>
      <c r="N82" s="305"/>
      <c r="O82" s="298"/>
      <c r="P82" s="334"/>
      <c r="Q82" s="298"/>
      <c r="R82" s="334"/>
      <c r="S82" s="298"/>
      <c r="T82" s="298"/>
    </row>
    <row r="83" spans="1:20" ht="23.25" customHeight="1" x14ac:dyDescent="0.25">
      <c r="A83" s="303" t="s">
        <v>265</v>
      </c>
      <c r="B83" s="302">
        <v>2640</v>
      </c>
      <c r="C83" s="302">
        <v>244</v>
      </c>
      <c r="D83" s="302"/>
      <c r="E83" s="305">
        <v>5538550</v>
      </c>
      <c r="F83" s="305">
        <v>3188900</v>
      </c>
      <c r="G83" s="305"/>
      <c r="H83" s="305"/>
      <c r="I83" s="305"/>
      <c r="J83" s="305">
        <v>0</v>
      </c>
      <c r="K83" s="305"/>
      <c r="L83" s="305">
        <v>0</v>
      </c>
      <c r="M83" s="305">
        <v>2349650</v>
      </c>
      <c r="N83" s="305">
        <v>0</v>
      </c>
      <c r="O83" s="298"/>
      <c r="P83" s="334"/>
      <c r="Q83" s="298"/>
      <c r="R83" s="334"/>
      <c r="S83" s="298"/>
      <c r="T83" s="298"/>
    </row>
    <row r="84" spans="1:20" ht="31.2" x14ac:dyDescent="0.25">
      <c r="A84" s="303" t="s">
        <v>428</v>
      </c>
      <c r="B84" s="302">
        <v>2650</v>
      </c>
      <c r="C84" s="302">
        <v>246</v>
      </c>
      <c r="D84" s="407">
        <v>246</v>
      </c>
      <c r="E84" s="305">
        <v>0</v>
      </c>
      <c r="F84" s="305"/>
      <c r="G84" s="305"/>
      <c r="H84" s="305"/>
      <c r="I84" s="305"/>
      <c r="J84" s="305"/>
      <c r="K84" s="305"/>
      <c r="L84" s="305"/>
      <c r="M84" s="406"/>
      <c r="N84" s="305"/>
      <c r="O84" s="298"/>
      <c r="P84" s="334"/>
      <c r="Q84" s="298"/>
      <c r="R84" s="334"/>
      <c r="S84" s="298"/>
      <c r="T84" s="298"/>
    </row>
    <row r="85" spans="1:20" ht="20.25" customHeight="1" x14ac:dyDescent="0.25">
      <c r="A85" s="303" t="s">
        <v>403</v>
      </c>
      <c r="B85" s="302">
        <v>2660</v>
      </c>
      <c r="C85" s="302">
        <v>247</v>
      </c>
      <c r="D85" s="302"/>
      <c r="E85" s="305">
        <v>942550</v>
      </c>
      <c r="F85" s="305">
        <v>887900</v>
      </c>
      <c r="G85" s="305"/>
      <c r="H85" s="305"/>
      <c r="I85" s="305"/>
      <c r="J85" s="305"/>
      <c r="K85" s="305"/>
      <c r="L85" s="305"/>
      <c r="M85" s="305">
        <v>54650</v>
      </c>
      <c r="N85" s="305"/>
      <c r="O85" s="298"/>
      <c r="P85" s="334"/>
      <c r="Q85" s="298"/>
      <c r="R85" s="334"/>
      <c r="S85" s="298"/>
      <c r="T85" s="298"/>
    </row>
    <row r="86" spans="1:20" x14ac:dyDescent="0.25">
      <c r="A86" s="303" t="s">
        <v>266</v>
      </c>
      <c r="B86" s="302">
        <v>2700</v>
      </c>
      <c r="C86" s="302">
        <v>400</v>
      </c>
      <c r="D86" s="302"/>
      <c r="E86" s="305">
        <v>0</v>
      </c>
      <c r="F86" s="305">
        <v>0</v>
      </c>
      <c r="G86" s="305"/>
      <c r="H86" s="305"/>
      <c r="I86" s="305"/>
      <c r="J86" s="305"/>
      <c r="K86" s="305"/>
      <c r="L86" s="305">
        <v>0</v>
      </c>
      <c r="M86" s="305"/>
      <c r="N86" s="305"/>
      <c r="O86" s="298"/>
      <c r="P86" s="334"/>
      <c r="Q86" s="298"/>
      <c r="R86" s="334"/>
      <c r="S86" s="298"/>
      <c r="T86" s="298"/>
    </row>
    <row r="87" spans="1:20" ht="55.5" customHeight="1" x14ac:dyDescent="0.25">
      <c r="A87" s="345" t="s">
        <v>267</v>
      </c>
      <c r="B87" s="302">
        <v>2710</v>
      </c>
      <c r="C87" s="302">
        <v>406</v>
      </c>
      <c r="D87" s="302"/>
      <c r="E87" s="305">
        <v>0</v>
      </c>
      <c r="F87" s="305"/>
      <c r="G87" s="305"/>
      <c r="H87" s="305"/>
      <c r="I87" s="305"/>
      <c r="J87" s="305"/>
      <c r="K87" s="305"/>
      <c r="L87" s="305"/>
      <c r="M87" s="305"/>
      <c r="N87" s="305"/>
      <c r="O87" s="298"/>
      <c r="P87" s="334"/>
      <c r="Q87" s="298"/>
      <c r="R87" s="334"/>
      <c r="S87" s="298"/>
      <c r="T87" s="298"/>
    </row>
    <row r="88" spans="1:20" ht="31.2" x14ac:dyDescent="0.25">
      <c r="A88" s="303" t="s">
        <v>268</v>
      </c>
      <c r="B88" s="302">
        <v>2720</v>
      </c>
      <c r="C88" s="302">
        <v>407</v>
      </c>
      <c r="D88" s="302"/>
      <c r="E88" s="305">
        <v>0</v>
      </c>
      <c r="F88" s="305"/>
      <c r="G88" s="305"/>
      <c r="H88" s="305"/>
      <c r="I88" s="305"/>
      <c r="J88" s="305"/>
      <c r="K88" s="305"/>
      <c r="L88" s="305"/>
      <c r="M88" s="305"/>
      <c r="N88" s="305"/>
      <c r="O88" s="298"/>
      <c r="P88" s="334"/>
      <c r="Q88" s="298"/>
      <c r="R88" s="334"/>
      <c r="S88" s="298"/>
      <c r="T88" s="298"/>
    </row>
    <row r="89" spans="1:20" s="317" customFormat="1" ht="30.75" customHeight="1" x14ac:dyDescent="0.25">
      <c r="A89" s="313" t="s">
        <v>269</v>
      </c>
      <c r="B89" s="322">
        <v>3000</v>
      </c>
      <c r="C89" s="322">
        <v>100</v>
      </c>
      <c r="D89" s="322"/>
      <c r="E89" s="324">
        <v>0</v>
      </c>
      <c r="F89" s="324">
        <v>0</v>
      </c>
      <c r="G89" s="324"/>
      <c r="H89" s="324">
        <v>0</v>
      </c>
      <c r="I89" s="324">
        <v>0</v>
      </c>
      <c r="J89" s="324">
        <v>0</v>
      </c>
      <c r="K89" s="324">
        <v>0</v>
      </c>
      <c r="L89" s="324">
        <v>0</v>
      </c>
      <c r="M89" s="324">
        <v>0</v>
      </c>
      <c r="N89" s="324">
        <v>0</v>
      </c>
      <c r="O89" s="316"/>
      <c r="P89" s="325"/>
      <c r="Q89" s="316"/>
      <c r="R89" s="325"/>
      <c r="S89" s="316"/>
      <c r="T89" s="316"/>
    </row>
    <row r="90" spans="1:20" ht="34.200000000000003" x14ac:dyDescent="0.25">
      <c r="A90" s="303" t="s">
        <v>270</v>
      </c>
      <c r="B90" s="302">
        <v>3010</v>
      </c>
      <c r="C90" s="302"/>
      <c r="D90" s="302"/>
      <c r="E90" s="305">
        <v>0</v>
      </c>
      <c r="F90" s="305"/>
      <c r="G90" s="305"/>
      <c r="H90" s="305"/>
      <c r="I90" s="305"/>
      <c r="J90" s="305"/>
      <c r="K90" s="305"/>
      <c r="L90" s="305"/>
      <c r="M90" s="305"/>
      <c r="N90" s="305"/>
      <c r="O90" s="298"/>
      <c r="P90" s="334"/>
      <c r="Q90" s="298"/>
      <c r="R90" s="334"/>
      <c r="S90" s="298"/>
      <c r="T90" s="298"/>
    </row>
    <row r="91" spans="1:20" ht="18.600000000000001" x14ac:dyDescent="0.25">
      <c r="A91" s="303" t="s">
        <v>271</v>
      </c>
      <c r="B91" s="302">
        <v>3020</v>
      </c>
      <c r="C91" s="302"/>
      <c r="D91" s="302"/>
      <c r="E91" s="305">
        <v>0</v>
      </c>
      <c r="F91" s="305"/>
      <c r="G91" s="305"/>
      <c r="H91" s="305"/>
      <c r="I91" s="305"/>
      <c r="J91" s="305"/>
      <c r="K91" s="305"/>
      <c r="L91" s="305"/>
      <c r="M91" s="305"/>
      <c r="N91" s="305"/>
      <c r="O91" s="298"/>
      <c r="P91" s="334"/>
      <c r="Q91" s="298"/>
      <c r="R91" s="334"/>
      <c r="S91" s="298"/>
      <c r="T91" s="298"/>
    </row>
    <row r="92" spans="1:20" ht="15.75" customHeight="1" x14ac:dyDescent="0.25">
      <c r="A92" s="303" t="s">
        <v>272</v>
      </c>
      <c r="B92" s="302">
        <v>3030</v>
      </c>
      <c r="C92" s="302"/>
      <c r="D92" s="302"/>
      <c r="E92" s="305">
        <v>0</v>
      </c>
      <c r="F92" s="305"/>
      <c r="G92" s="305"/>
      <c r="H92" s="305"/>
      <c r="I92" s="305"/>
      <c r="J92" s="305"/>
      <c r="K92" s="305"/>
      <c r="L92" s="305"/>
      <c r="M92" s="305"/>
      <c r="N92" s="305"/>
      <c r="O92" s="298"/>
      <c r="P92" s="334"/>
      <c r="Q92" s="298"/>
      <c r="R92" s="334"/>
      <c r="S92" s="298"/>
      <c r="T92" s="298"/>
    </row>
    <row r="93" spans="1:20" s="317" customFormat="1" ht="15.75" customHeight="1" x14ac:dyDescent="0.25">
      <c r="A93" s="313" t="s">
        <v>273</v>
      </c>
      <c r="B93" s="322">
        <v>4000</v>
      </c>
      <c r="C93" s="322" t="s">
        <v>190</v>
      </c>
      <c r="D93" s="322"/>
      <c r="E93" s="324">
        <v>0</v>
      </c>
      <c r="F93" s="324">
        <v>0</v>
      </c>
      <c r="G93" s="324"/>
      <c r="H93" s="324">
        <v>0</v>
      </c>
      <c r="I93" s="324">
        <v>0</v>
      </c>
      <c r="J93" s="324">
        <v>0</v>
      </c>
      <c r="K93" s="324">
        <v>0</v>
      </c>
      <c r="L93" s="324">
        <v>0</v>
      </c>
      <c r="M93" s="324">
        <v>0</v>
      </c>
      <c r="N93" s="324">
        <v>0</v>
      </c>
      <c r="O93" s="316"/>
      <c r="P93" s="325"/>
      <c r="Q93" s="316"/>
      <c r="R93" s="325"/>
      <c r="S93" s="316"/>
      <c r="T93" s="316"/>
    </row>
    <row r="94" spans="1:20" ht="32.25" customHeight="1" x14ac:dyDescent="0.25">
      <c r="A94" s="303" t="s">
        <v>274</v>
      </c>
      <c r="B94" s="302">
        <v>4010</v>
      </c>
      <c r="C94" s="302">
        <v>610</v>
      </c>
      <c r="D94" s="302"/>
      <c r="E94" s="305">
        <v>0</v>
      </c>
      <c r="F94" s="305"/>
      <c r="G94" s="305"/>
      <c r="H94" s="305"/>
      <c r="I94" s="305"/>
      <c r="J94" s="305"/>
      <c r="K94" s="305"/>
      <c r="L94" s="305"/>
      <c r="M94" s="305"/>
      <c r="N94" s="305"/>
      <c r="O94" s="298"/>
      <c r="P94" s="334"/>
      <c r="Q94" s="298"/>
      <c r="R94" s="334"/>
      <c r="S94" s="298"/>
      <c r="T94" s="298"/>
    </row>
    <row r="95" spans="1:20" ht="15.75" customHeight="1" x14ac:dyDescent="0.25">
      <c r="A95" s="303"/>
      <c r="B95" s="302"/>
      <c r="C95" s="302"/>
      <c r="D95" s="302"/>
      <c r="E95" s="305">
        <v>0</v>
      </c>
      <c r="F95" s="305"/>
      <c r="G95" s="305"/>
      <c r="H95" s="305"/>
      <c r="I95" s="305"/>
      <c r="J95" s="305"/>
      <c r="K95" s="305"/>
      <c r="L95" s="305"/>
      <c r="M95" s="305"/>
      <c r="N95" s="305"/>
      <c r="O95" s="298"/>
      <c r="P95" s="334"/>
      <c r="Q95" s="298"/>
      <c r="R95" s="334"/>
      <c r="S95" s="298"/>
      <c r="T95" s="298"/>
    </row>
    <row r="96" spans="1:20" x14ac:dyDescent="0.25">
      <c r="E96" s="509"/>
      <c r="F96" s="509"/>
      <c r="G96" s="509"/>
      <c r="H96" s="509"/>
      <c r="I96" s="509"/>
      <c r="J96" s="509"/>
      <c r="K96" s="509"/>
      <c r="L96" s="509"/>
      <c r="M96" s="509"/>
      <c r="N96" s="509"/>
    </row>
    <row r="97" spans="1:5" x14ac:dyDescent="0.25">
      <c r="A97" s="296" t="s">
        <v>429</v>
      </c>
      <c r="B97" s="509" t="s">
        <v>430</v>
      </c>
      <c r="C97" s="509"/>
      <c r="D97" s="509"/>
      <c r="E97" s="509"/>
    </row>
    <row r="98" spans="1:5" x14ac:dyDescent="0.25">
      <c r="A98" s="509"/>
      <c r="B98" s="509"/>
      <c r="C98" s="509"/>
      <c r="D98" s="376"/>
    </row>
    <row r="99" spans="1:5" x14ac:dyDescent="0.25">
      <c r="A99" s="509"/>
      <c r="B99" s="509"/>
      <c r="C99" s="509"/>
      <c r="D99" s="376"/>
    </row>
    <row r="100" spans="1:5" x14ac:dyDescent="0.25">
      <c r="A100" s="509"/>
      <c r="B100" s="509"/>
      <c r="C100" s="509"/>
      <c r="D100" s="376"/>
    </row>
    <row r="101" spans="1:5" x14ac:dyDescent="0.25">
      <c r="A101" s="509"/>
      <c r="B101" s="509"/>
      <c r="C101" s="509"/>
      <c r="D101" s="376"/>
    </row>
    <row r="102" spans="1:5" x14ac:dyDescent="0.25">
      <c r="A102" s="509"/>
      <c r="B102" s="509"/>
      <c r="C102" s="509"/>
      <c r="D102" s="376"/>
    </row>
    <row r="103" spans="1:5" x14ac:dyDescent="0.25">
      <c r="A103" s="526"/>
      <c r="B103" s="526"/>
      <c r="C103" s="526"/>
      <c r="D103" s="378"/>
    </row>
    <row r="104" spans="1:5" x14ac:dyDescent="0.25">
      <c r="A104" s="509"/>
      <c r="B104" s="509"/>
      <c r="C104" s="509"/>
      <c r="D104" s="376"/>
    </row>
    <row r="105" spans="1:5" x14ac:dyDescent="0.25">
      <c r="A105" s="526"/>
      <c r="B105" s="526"/>
      <c r="C105" s="526"/>
      <c r="D105" s="378"/>
    </row>
    <row r="106" spans="1:5" x14ac:dyDescent="0.25">
      <c r="A106" s="526"/>
      <c r="B106" s="526"/>
      <c r="C106" s="526"/>
      <c r="D106" s="378"/>
    </row>
    <row r="107" spans="1:5" x14ac:dyDescent="0.25">
      <c r="A107" s="509"/>
      <c r="B107" s="509"/>
      <c r="C107" s="509"/>
      <c r="D107" s="376"/>
    </row>
    <row r="108" spans="1:5" x14ac:dyDescent="0.25">
      <c r="A108" s="509"/>
      <c r="B108" s="509"/>
      <c r="C108" s="509"/>
      <c r="D108" s="376"/>
    </row>
    <row r="109" spans="1:5" x14ac:dyDescent="0.25">
      <c r="A109" s="526"/>
      <c r="B109" s="526"/>
      <c r="C109" s="526"/>
      <c r="D109" s="378"/>
    </row>
  </sheetData>
  <mergeCells count="23">
    <mergeCell ref="A105:C105"/>
    <mergeCell ref="A106:C106"/>
    <mergeCell ref="A107:C107"/>
    <mergeCell ref="A108:C108"/>
    <mergeCell ref="A109:C109"/>
    <mergeCell ref="A10:N10"/>
    <mergeCell ref="A99:C99"/>
    <mergeCell ref="A100:C100"/>
    <mergeCell ref="A101:C101"/>
    <mergeCell ref="E12:N12"/>
    <mergeCell ref="E13:N13"/>
    <mergeCell ref="A11:A14"/>
    <mergeCell ref="B11:B14"/>
    <mergeCell ref="C11:C14"/>
    <mergeCell ref="E11:N11"/>
    <mergeCell ref="D11:D14"/>
    <mergeCell ref="O27:W27"/>
    <mergeCell ref="E96:N96"/>
    <mergeCell ref="A103:C103"/>
    <mergeCell ref="A104:C104"/>
    <mergeCell ref="A98:C98"/>
    <mergeCell ref="A102:C102"/>
    <mergeCell ref="B97:E97"/>
  </mergeCells>
  <printOptions horizontalCentered="1"/>
  <pageMargins left="0.19685039370078741" right="0.15748031496062992" top="0.23622047244094491" bottom="0.31496062992125984" header="0.27559055118110237" footer="0"/>
  <pageSetup paperSize="9" scale="45" fitToHeight="0" orientation="landscape" r:id="rId1"/>
  <headerFooter alignWithMargins="0"/>
  <rowBreaks count="1" manualBreakCount="1">
    <brk id="49"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109"/>
  <sheetViews>
    <sheetView view="pageBreakPreview" zoomScale="60" workbookViewId="0">
      <selection activeCell="H14" sqref="H14"/>
    </sheetView>
  </sheetViews>
  <sheetFormatPr defaultColWidth="9.33203125" defaultRowHeight="15.6" x14ac:dyDescent="0.25"/>
  <cols>
    <col min="1" max="1" width="77.33203125" style="296" customWidth="1"/>
    <col min="2" max="2" width="9.33203125" style="358" customWidth="1"/>
    <col min="3" max="3" width="16.33203125" style="296" customWidth="1"/>
    <col min="4" max="4" width="16.33203125" style="296" hidden="1" customWidth="1"/>
    <col min="5" max="5" width="23.109375" style="296" customWidth="1"/>
    <col min="6" max="6" width="23.6640625" style="296" customWidth="1"/>
    <col min="7" max="7" width="23.6640625" style="296" hidden="1" customWidth="1"/>
    <col min="8" max="8" width="24.77734375" style="296" customWidth="1"/>
    <col min="9" max="9" width="19.33203125" style="296" hidden="1" customWidth="1"/>
    <col min="10" max="10" width="30.109375" style="296" customWidth="1"/>
    <col min="11" max="11" width="30.6640625" style="296" customWidth="1"/>
    <col min="12" max="12" width="32.109375" style="296" customWidth="1"/>
    <col min="13" max="14" width="23.109375" style="296" customWidth="1"/>
    <col min="15" max="15" width="23.109375" style="296" hidden="1" customWidth="1"/>
    <col min="16" max="16" width="23.6640625" style="296" hidden="1" customWidth="1"/>
    <col min="17" max="17" width="21.109375" style="296" hidden="1" customWidth="1"/>
    <col min="18" max="18" width="24.77734375" style="296" hidden="1" customWidth="1"/>
    <col min="19" max="19" width="19.33203125" style="296" hidden="1" customWidth="1"/>
    <col min="20" max="20" width="30.109375" style="296" hidden="1" customWidth="1"/>
    <col min="21" max="21" width="24.33203125" style="296" hidden="1" customWidth="1"/>
    <col min="22" max="22" width="26.77734375" style="296" hidden="1" customWidth="1"/>
    <col min="23" max="24" width="23.109375" style="296" hidden="1" customWidth="1"/>
    <col min="25" max="25" width="19.33203125" style="296" bestFit="1" customWidth="1"/>
    <col min="26" max="16384" width="9.33203125" style="296"/>
  </cols>
  <sheetData>
    <row r="1" spans="1:25" x14ac:dyDescent="0.25">
      <c r="E1" s="350">
        <v>0</v>
      </c>
      <c r="F1" s="350">
        <v>0</v>
      </c>
      <c r="G1" s="350"/>
      <c r="H1" s="350">
        <v>0</v>
      </c>
      <c r="I1" s="350">
        <v>0</v>
      </c>
      <c r="J1" s="350">
        <v>0</v>
      </c>
      <c r="K1" s="350">
        <v>0</v>
      </c>
      <c r="L1" s="350">
        <v>0</v>
      </c>
      <c r="M1" s="350">
        <v>0</v>
      </c>
      <c r="N1" s="350">
        <v>0</v>
      </c>
      <c r="O1" s="350" t="e">
        <v>#REF!</v>
      </c>
      <c r="P1" s="350" t="e">
        <v>#REF!</v>
      </c>
      <c r="Q1" s="350" t="e">
        <v>#REF!</v>
      </c>
      <c r="R1" s="350" t="e">
        <v>#REF!</v>
      </c>
      <c r="S1" s="350" t="e">
        <v>#REF!</v>
      </c>
      <c r="T1" s="350" t="e">
        <v>#REF!</v>
      </c>
      <c r="U1" s="350" t="e">
        <v>#REF!</v>
      </c>
      <c r="V1" s="350" t="e">
        <v>#REF!</v>
      </c>
      <c r="W1" s="350" t="e">
        <v>#REF!</v>
      </c>
      <c r="X1" s="350" t="e">
        <v>#REF!</v>
      </c>
    </row>
    <row r="2" spans="1:25" x14ac:dyDescent="0.25">
      <c r="B2" s="415"/>
      <c r="E2" s="362"/>
      <c r="F2" s="362"/>
      <c r="G2" s="362"/>
      <c r="H2" s="362"/>
      <c r="I2" s="362"/>
      <c r="J2" s="362"/>
      <c r="K2" s="362"/>
      <c r="L2" s="362"/>
      <c r="M2" s="362"/>
      <c r="N2" s="362"/>
      <c r="O2" s="362"/>
      <c r="P2" s="362"/>
      <c r="Q2" s="362"/>
      <c r="R2" s="362"/>
      <c r="S2" s="362"/>
      <c r="T2" s="362"/>
      <c r="U2" s="362"/>
      <c r="V2" s="362"/>
      <c r="W2" s="362"/>
      <c r="X2" s="362"/>
    </row>
    <row r="3" spans="1:25" x14ac:dyDescent="0.25">
      <c r="A3" s="296" t="s">
        <v>206</v>
      </c>
      <c r="B3" s="415"/>
      <c r="E3" s="362"/>
      <c r="F3" s="362"/>
      <c r="G3" s="362"/>
      <c r="H3" s="362"/>
      <c r="I3" s="362"/>
      <c r="J3" s="362"/>
      <c r="K3" s="362"/>
      <c r="L3" s="362"/>
      <c r="M3" s="362"/>
      <c r="N3" s="362"/>
      <c r="O3" s="362"/>
      <c r="P3" s="362"/>
      <c r="Q3" s="362"/>
      <c r="R3" s="362"/>
      <c r="S3" s="362"/>
      <c r="T3" s="362"/>
      <c r="U3" s="362"/>
      <c r="V3" s="362"/>
      <c r="W3" s="362"/>
      <c r="X3" s="362"/>
    </row>
    <row r="4" spans="1:25" x14ac:dyDescent="0.25">
      <c r="A4" s="296" t="s">
        <v>368</v>
      </c>
      <c r="B4" s="415"/>
      <c r="E4" s="362"/>
      <c r="F4" s="362"/>
      <c r="G4" s="362"/>
      <c r="H4" s="362"/>
      <c r="I4" s="362"/>
      <c r="J4" s="362"/>
      <c r="K4" s="362"/>
      <c r="L4" s="362"/>
      <c r="M4" s="362"/>
      <c r="N4" s="362"/>
      <c r="O4" s="362"/>
      <c r="P4" s="362"/>
      <c r="Q4" s="362"/>
      <c r="R4" s="362"/>
      <c r="S4" s="362"/>
      <c r="T4" s="362"/>
      <c r="U4" s="362"/>
      <c r="V4" s="362"/>
      <c r="W4" s="362"/>
      <c r="X4" s="362"/>
    </row>
    <row r="5" spans="1:25" x14ac:dyDescent="0.25">
      <c r="B5" s="415"/>
      <c r="E5" s="362"/>
      <c r="F5" s="362"/>
      <c r="G5" s="362"/>
      <c r="H5" s="362"/>
      <c r="I5" s="362"/>
      <c r="J5" s="362"/>
      <c r="K5" s="362"/>
      <c r="L5" s="362"/>
      <c r="M5" s="362"/>
      <c r="N5" s="362"/>
      <c r="O5" s="362"/>
      <c r="P5" s="362"/>
      <c r="Q5" s="362"/>
      <c r="R5" s="362"/>
      <c r="S5" s="362"/>
      <c r="T5" s="362"/>
      <c r="U5" s="362"/>
      <c r="V5" s="362"/>
      <c r="W5" s="362"/>
      <c r="X5" s="362"/>
    </row>
    <row r="6" spans="1:25" x14ac:dyDescent="0.25">
      <c r="B6" s="415"/>
      <c r="E6" s="362"/>
      <c r="F6" s="362"/>
      <c r="G6" s="362"/>
      <c r="H6" s="362"/>
      <c r="I6" s="362"/>
      <c r="J6" s="362"/>
      <c r="K6" s="362"/>
      <c r="L6" s="362"/>
      <c r="M6" s="362"/>
      <c r="N6" s="362"/>
      <c r="O6" s="362"/>
      <c r="P6" s="362"/>
      <c r="Q6" s="362"/>
      <c r="R6" s="362"/>
      <c r="S6" s="362"/>
      <c r="T6" s="362"/>
      <c r="U6" s="362"/>
      <c r="V6" s="362"/>
      <c r="W6" s="362"/>
      <c r="X6" s="362"/>
    </row>
    <row r="7" spans="1:25" x14ac:dyDescent="0.25">
      <c r="A7" s="371" t="s">
        <v>414</v>
      </c>
      <c r="B7" s="415"/>
      <c r="E7" s="362"/>
      <c r="F7" s="362"/>
      <c r="G7" s="362"/>
      <c r="H7" s="362"/>
      <c r="I7" s="362"/>
      <c r="J7" s="362"/>
      <c r="K7" s="362"/>
      <c r="L7" s="362"/>
      <c r="M7" s="362"/>
      <c r="N7" s="362"/>
      <c r="O7" s="362"/>
      <c r="P7" s="362"/>
      <c r="Q7" s="362"/>
      <c r="R7" s="362"/>
      <c r="S7" s="362"/>
      <c r="T7" s="362"/>
      <c r="U7" s="362"/>
      <c r="V7" s="362"/>
      <c r="W7" s="362"/>
      <c r="X7" s="362"/>
    </row>
    <row r="8" spans="1:25" x14ac:dyDescent="0.25">
      <c r="A8" s="296" t="s">
        <v>210</v>
      </c>
      <c r="B8" s="415"/>
      <c r="E8" s="350">
        <v>0</v>
      </c>
      <c r="F8" s="350">
        <v>0</v>
      </c>
      <c r="G8" s="350"/>
      <c r="H8" s="350">
        <v>0</v>
      </c>
      <c r="I8" s="350">
        <v>0</v>
      </c>
      <c r="J8" s="350">
        <v>0</v>
      </c>
      <c r="K8" s="352"/>
      <c r="L8" s="350">
        <v>0</v>
      </c>
      <c r="M8" s="353">
        <v>0</v>
      </c>
      <c r="N8" s="354"/>
      <c r="O8" s="362">
        <v>0</v>
      </c>
      <c r="P8" s="362" t="e">
        <v>#REF!</v>
      </c>
      <c r="Q8" s="362" t="e">
        <v>#REF!</v>
      </c>
      <c r="R8" s="362" t="e">
        <v>#REF!</v>
      </c>
      <c r="S8" s="362" t="e">
        <v>#REF!</v>
      </c>
      <c r="T8" s="362" t="e">
        <v>#REF!</v>
      </c>
      <c r="U8" s="298"/>
      <c r="V8" s="362" t="e">
        <v>#REF!</v>
      </c>
      <c r="W8" s="379" t="e">
        <v>#REF!</v>
      </c>
      <c r="X8" s="355"/>
    </row>
    <row r="9" spans="1:25" x14ac:dyDescent="0.25">
      <c r="B9" s="415"/>
      <c r="E9" s="352"/>
      <c r="F9" s="352"/>
      <c r="G9" s="352"/>
      <c r="H9" s="352"/>
      <c r="I9" s="352"/>
      <c r="J9" s="352"/>
      <c r="K9" s="352"/>
      <c r="L9" s="352"/>
      <c r="M9" s="352"/>
      <c r="N9" s="352"/>
      <c r="O9" s="298"/>
      <c r="P9" s="298"/>
      <c r="Q9" s="298"/>
      <c r="R9" s="298"/>
      <c r="S9" s="298"/>
      <c r="T9" s="298"/>
      <c r="U9" s="298"/>
      <c r="V9" s="298"/>
      <c r="W9" s="298"/>
      <c r="X9" s="298"/>
    </row>
    <row r="10" spans="1:25" ht="31.5" customHeight="1" x14ac:dyDescent="0.25">
      <c r="A10" s="507" t="s">
        <v>213</v>
      </c>
      <c r="B10" s="507"/>
      <c r="C10" s="507"/>
      <c r="D10" s="507"/>
      <c r="E10" s="507"/>
      <c r="F10" s="507"/>
      <c r="G10" s="507"/>
      <c r="H10" s="507"/>
      <c r="I10" s="507"/>
      <c r="J10" s="507"/>
      <c r="K10" s="507"/>
      <c r="L10" s="507"/>
      <c r="M10" s="507"/>
      <c r="N10" s="507"/>
      <c r="O10" s="355"/>
      <c r="P10" s="355"/>
      <c r="Q10" s="355"/>
      <c r="R10" s="355"/>
      <c r="S10" s="355"/>
      <c r="T10" s="355"/>
      <c r="U10" s="355"/>
      <c r="V10" s="355"/>
      <c r="W10" s="355"/>
      <c r="X10" s="355"/>
    </row>
    <row r="11" spans="1:25" ht="17.25" customHeight="1" x14ac:dyDescent="0.25">
      <c r="A11" s="514" t="s">
        <v>177</v>
      </c>
      <c r="B11" s="517" t="s">
        <v>178</v>
      </c>
      <c r="C11" s="517" t="s">
        <v>214</v>
      </c>
      <c r="D11" s="517" t="s">
        <v>401</v>
      </c>
      <c r="E11" s="520" t="s">
        <v>215</v>
      </c>
      <c r="F11" s="520"/>
      <c r="G11" s="520"/>
      <c r="H11" s="520"/>
      <c r="I11" s="520"/>
      <c r="J11" s="520"/>
      <c r="K11" s="520"/>
      <c r="L11" s="520"/>
      <c r="M11" s="520"/>
      <c r="N11" s="520"/>
      <c r="O11" s="520" t="s">
        <v>215</v>
      </c>
      <c r="P11" s="520"/>
      <c r="Q11" s="520"/>
      <c r="R11" s="520"/>
      <c r="S11" s="520"/>
      <c r="T11" s="520"/>
      <c r="U11" s="520"/>
      <c r="V11" s="520"/>
      <c r="W11" s="520"/>
      <c r="X11" s="520"/>
    </row>
    <row r="12" spans="1:25" ht="30" customHeight="1" x14ac:dyDescent="0.25">
      <c r="A12" s="515"/>
      <c r="B12" s="518"/>
      <c r="C12" s="518"/>
      <c r="D12" s="518"/>
      <c r="E12" s="510" t="s">
        <v>396</v>
      </c>
      <c r="F12" s="511"/>
      <c r="G12" s="511"/>
      <c r="H12" s="511"/>
      <c r="I12" s="511"/>
      <c r="J12" s="511"/>
      <c r="K12" s="511"/>
      <c r="L12" s="511"/>
      <c r="M12" s="511"/>
      <c r="N12" s="512"/>
      <c r="O12" s="510"/>
      <c r="P12" s="511"/>
      <c r="Q12" s="511"/>
      <c r="R12" s="511"/>
      <c r="S12" s="511"/>
      <c r="T12" s="511"/>
      <c r="U12" s="511"/>
      <c r="V12" s="511"/>
      <c r="W12" s="511"/>
      <c r="X12" s="512"/>
    </row>
    <row r="13" spans="1:25" ht="24.75" customHeight="1" x14ac:dyDescent="0.25">
      <c r="A13" s="515"/>
      <c r="B13" s="518"/>
      <c r="C13" s="518"/>
      <c r="D13" s="518"/>
      <c r="E13" s="510" t="s">
        <v>370</v>
      </c>
      <c r="F13" s="511"/>
      <c r="G13" s="511"/>
      <c r="H13" s="511"/>
      <c r="I13" s="511"/>
      <c r="J13" s="511"/>
      <c r="K13" s="511"/>
      <c r="L13" s="511"/>
      <c r="M13" s="511"/>
      <c r="N13" s="512"/>
      <c r="O13" s="510" t="s">
        <v>294</v>
      </c>
      <c r="P13" s="511"/>
      <c r="Q13" s="511"/>
      <c r="R13" s="511"/>
      <c r="S13" s="511"/>
      <c r="T13" s="511"/>
      <c r="U13" s="511"/>
      <c r="V13" s="511"/>
      <c r="W13" s="511"/>
      <c r="X13" s="512"/>
    </row>
    <row r="14" spans="1:25" ht="179.25" customHeight="1" x14ac:dyDescent="0.25">
      <c r="A14" s="516"/>
      <c r="B14" s="519"/>
      <c r="C14" s="519"/>
      <c r="D14" s="519"/>
      <c r="E14" s="356" t="s">
        <v>176</v>
      </c>
      <c r="F14" s="356" t="s">
        <v>219</v>
      </c>
      <c r="G14" s="374" t="s">
        <v>220</v>
      </c>
      <c r="H14" s="369" t="s">
        <v>438</v>
      </c>
      <c r="I14" s="356" t="s">
        <v>196</v>
      </c>
      <c r="J14" s="356" t="s">
        <v>197</v>
      </c>
      <c r="K14" s="368" t="s">
        <v>393</v>
      </c>
      <c r="L14" s="370" t="s">
        <v>394</v>
      </c>
      <c r="M14" s="356" t="s">
        <v>201</v>
      </c>
      <c r="N14" s="301" t="s">
        <v>202</v>
      </c>
      <c r="O14" s="356" t="s">
        <v>176</v>
      </c>
      <c r="P14" s="356" t="s">
        <v>219</v>
      </c>
      <c r="Q14" s="356" t="s">
        <v>220</v>
      </c>
      <c r="R14" s="356" t="s">
        <v>195</v>
      </c>
      <c r="S14" s="356" t="s">
        <v>196</v>
      </c>
      <c r="T14" s="356" t="s">
        <v>197</v>
      </c>
      <c r="U14" s="356" t="s">
        <v>198</v>
      </c>
      <c r="V14" s="356" t="s">
        <v>200</v>
      </c>
      <c r="W14" s="356" t="s">
        <v>201</v>
      </c>
      <c r="X14" s="301" t="s">
        <v>202</v>
      </c>
    </row>
    <row r="15" spans="1:25" s="371" customFormat="1" ht="17.25" customHeight="1" x14ac:dyDescent="0.25">
      <c r="A15" s="373">
        <v>1</v>
      </c>
      <c r="B15" s="374">
        <v>2</v>
      </c>
      <c r="C15" s="377">
        <v>3</v>
      </c>
      <c r="D15" s="377">
        <v>4</v>
      </c>
      <c r="E15" s="374">
        <v>4</v>
      </c>
      <c r="F15" s="374">
        <v>5</v>
      </c>
      <c r="G15" s="374">
        <v>6</v>
      </c>
      <c r="H15" s="374">
        <v>6</v>
      </c>
      <c r="I15" s="374"/>
      <c r="J15" s="374">
        <v>7</v>
      </c>
      <c r="K15" s="374">
        <v>8</v>
      </c>
      <c r="L15" s="374">
        <v>9</v>
      </c>
      <c r="M15" s="374">
        <v>10</v>
      </c>
      <c r="N15" s="374">
        <v>11</v>
      </c>
      <c r="O15" s="374">
        <v>26</v>
      </c>
      <c r="P15" s="374">
        <v>27</v>
      </c>
      <c r="Q15" s="374">
        <v>28</v>
      </c>
      <c r="R15" s="374">
        <v>29</v>
      </c>
      <c r="S15" s="374">
        <v>30</v>
      </c>
      <c r="T15" s="374">
        <v>31</v>
      </c>
      <c r="U15" s="374">
        <v>33</v>
      </c>
      <c r="V15" s="374">
        <v>34</v>
      </c>
      <c r="W15" s="374">
        <v>35</v>
      </c>
      <c r="X15" s="374">
        <v>36</v>
      </c>
    </row>
    <row r="16" spans="1:25" ht="22.5" customHeight="1" x14ac:dyDescent="0.35">
      <c r="A16" s="303" t="s">
        <v>221</v>
      </c>
      <c r="B16" s="356" t="s">
        <v>222</v>
      </c>
      <c r="C16" s="377" t="s">
        <v>190</v>
      </c>
      <c r="D16" s="377"/>
      <c r="E16" s="304"/>
      <c r="F16" s="305"/>
      <c r="G16" s="305"/>
      <c r="H16" s="305"/>
      <c r="I16" s="305"/>
      <c r="J16" s="305"/>
      <c r="K16" s="305"/>
      <c r="L16" s="306"/>
      <c r="M16" s="305"/>
      <c r="N16" s="305"/>
      <c r="O16" s="304"/>
      <c r="P16" s="305"/>
      <c r="Q16" s="305"/>
      <c r="R16" s="305"/>
      <c r="S16" s="305"/>
      <c r="T16" s="305"/>
      <c r="U16" s="305"/>
      <c r="V16" s="306"/>
      <c r="W16" s="305"/>
      <c r="X16" s="305"/>
      <c r="Y16" s="307"/>
    </row>
    <row r="17" spans="1:38" ht="31.5" customHeight="1" x14ac:dyDescent="0.25">
      <c r="A17" s="303" t="s">
        <v>223</v>
      </c>
      <c r="B17" s="356" t="s">
        <v>224</v>
      </c>
      <c r="C17" s="377" t="s">
        <v>190</v>
      </c>
      <c r="D17" s="377"/>
      <c r="E17" s="304"/>
      <c r="F17" s="306"/>
      <c r="G17" s="306"/>
      <c r="H17" s="306"/>
      <c r="I17" s="306"/>
      <c r="J17" s="306"/>
      <c r="K17" s="306"/>
      <c r="M17" s="306"/>
      <c r="N17" s="306"/>
      <c r="O17" s="304"/>
      <c r="P17" s="306"/>
      <c r="Q17" s="306"/>
      <c r="R17" s="306"/>
      <c r="S17" s="306"/>
      <c r="T17" s="306"/>
      <c r="U17" s="306"/>
      <c r="W17" s="306"/>
      <c r="X17" s="306"/>
    </row>
    <row r="18" spans="1:38" s="312" customFormat="1" ht="27" customHeight="1" x14ac:dyDescent="0.25">
      <c r="A18" s="308" t="s">
        <v>225</v>
      </c>
      <c r="B18" s="309" t="s">
        <v>226</v>
      </c>
      <c r="C18" s="309"/>
      <c r="D18" s="309"/>
      <c r="E18" s="310">
        <v>42767800</v>
      </c>
      <c r="F18" s="311">
        <v>38839400</v>
      </c>
      <c r="G18" s="311">
        <v>0</v>
      </c>
      <c r="H18" s="311">
        <v>976300</v>
      </c>
      <c r="I18" s="311">
        <v>0</v>
      </c>
      <c r="J18" s="311">
        <v>210600</v>
      </c>
      <c r="K18" s="311">
        <v>0</v>
      </c>
      <c r="L18" s="311">
        <v>0</v>
      </c>
      <c r="M18" s="311">
        <v>2741500</v>
      </c>
      <c r="N18" s="311">
        <v>0</v>
      </c>
      <c r="O18" s="310" t="e">
        <v>#REF!</v>
      </c>
      <c r="P18" s="311" t="e">
        <v>#REF!</v>
      </c>
      <c r="Q18" s="311" t="e">
        <v>#REF!</v>
      </c>
      <c r="R18" s="311" t="e">
        <v>#REF!</v>
      </c>
      <c r="S18" s="311" t="e">
        <v>#REF!</v>
      </c>
      <c r="T18" s="311" t="e">
        <v>#REF!</v>
      </c>
      <c r="U18" s="311" t="e">
        <v>#REF!</v>
      </c>
      <c r="V18" s="311" t="e">
        <v>#REF!</v>
      </c>
      <c r="W18" s="311" t="e">
        <v>#REF!</v>
      </c>
      <c r="X18" s="311" t="e">
        <v>#REF!</v>
      </c>
    </row>
    <row r="19" spans="1:38" s="317" customFormat="1" ht="31.2" x14ac:dyDescent="0.25">
      <c r="A19" s="313" t="s">
        <v>227</v>
      </c>
      <c r="B19" s="314" t="s">
        <v>228</v>
      </c>
      <c r="C19" s="314">
        <v>120</v>
      </c>
      <c r="D19" s="314"/>
      <c r="E19" s="315">
        <v>0</v>
      </c>
      <c r="F19" s="315">
        <v>0</v>
      </c>
      <c r="G19" s="315">
        <v>0</v>
      </c>
      <c r="H19" s="315">
        <v>0</v>
      </c>
      <c r="I19" s="315">
        <v>0</v>
      </c>
      <c r="J19" s="315">
        <v>0</v>
      </c>
      <c r="K19" s="315">
        <v>0</v>
      </c>
      <c r="L19" s="315">
        <v>0</v>
      </c>
      <c r="M19" s="315">
        <v>0</v>
      </c>
      <c r="N19" s="315">
        <v>0</v>
      </c>
      <c r="O19" s="315">
        <v>0</v>
      </c>
      <c r="P19" s="315">
        <v>0</v>
      </c>
      <c r="Q19" s="315">
        <v>0</v>
      </c>
      <c r="R19" s="315">
        <v>0</v>
      </c>
      <c r="S19" s="315">
        <v>0</v>
      </c>
      <c r="T19" s="315">
        <v>0</v>
      </c>
      <c r="U19" s="315">
        <v>0</v>
      </c>
      <c r="V19" s="315">
        <v>0</v>
      </c>
      <c r="W19" s="315">
        <v>0</v>
      </c>
      <c r="X19" s="315">
        <v>0</v>
      </c>
      <c r="Y19" s="316"/>
      <c r="Z19" s="316"/>
      <c r="AA19" s="316"/>
      <c r="AB19" s="316"/>
      <c r="AC19" s="316"/>
      <c r="AD19" s="316"/>
    </row>
    <row r="20" spans="1:38" s="320" customFormat="1" ht="22.5" customHeight="1" x14ac:dyDescent="0.25">
      <c r="A20" s="303" t="s">
        <v>182</v>
      </c>
      <c r="B20" s="302"/>
      <c r="C20" s="302"/>
      <c r="D20" s="302"/>
      <c r="E20" s="305"/>
      <c r="F20" s="306"/>
      <c r="G20" s="306"/>
      <c r="H20" s="306"/>
      <c r="I20" s="306"/>
      <c r="J20" s="306"/>
      <c r="K20" s="306"/>
      <c r="L20" s="306"/>
      <c r="M20" s="306"/>
      <c r="N20" s="306"/>
      <c r="O20" s="305"/>
      <c r="P20" s="306"/>
      <c r="Q20" s="306"/>
      <c r="R20" s="306"/>
      <c r="S20" s="306"/>
      <c r="T20" s="306"/>
      <c r="U20" s="306"/>
      <c r="V20" s="306"/>
      <c r="W20" s="306"/>
      <c r="X20" s="306"/>
      <c r="Y20" s="318"/>
      <c r="Z20" s="318"/>
      <c r="AA20" s="318"/>
      <c r="AB20" s="318"/>
      <c r="AC20" s="319"/>
      <c r="AD20" s="319"/>
    </row>
    <row r="21" spans="1:38" s="320" customFormat="1" ht="31.2" x14ac:dyDescent="0.25">
      <c r="A21" s="303" t="s">
        <v>417</v>
      </c>
      <c r="B21" s="302" t="s">
        <v>229</v>
      </c>
      <c r="C21" s="321" t="s">
        <v>402</v>
      </c>
      <c r="D21" s="321" t="s">
        <v>230</v>
      </c>
      <c r="E21" s="305">
        <v>0</v>
      </c>
      <c r="F21" s="306"/>
      <c r="G21" s="306"/>
      <c r="H21" s="305"/>
      <c r="I21" s="305"/>
      <c r="J21" s="305"/>
      <c r="K21" s="305"/>
      <c r="L21" s="305"/>
      <c r="M21" s="305">
        <v>0</v>
      </c>
      <c r="N21" s="305"/>
      <c r="O21" s="305">
        <v>0</v>
      </c>
      <c r="P21" s="306"/>
      <c r="Q21" s="306"/>
      <c r="R21" s="305"/>
      <c r="S21" s="305"/>
      <c r="T21" s="305"/>
      <c r="U21" s="305"/>
      <c r="V21" s="305"/>
      <c r="W21" s="305">
        <v>0</v>
      </c>
      <c r="X21" s="305"/>
      <c r="Y21" s="319"/>
      <c r="Z21" s="318"/>
      <c r="AA21" s="319"/>
      <c r="AB21" s="318"/>
      <c r="AC21" s="319"/>
      <c r="AD21" s="319"/>
    </row>
    <row r="22" spans="1:38" s="320" customFormat="1" ht="31.2" x14ac:dyDescent="0.25">
      <c r="A22" s="303" t="s">
        <v>188</v>
      </c>
      <c r="B22" s="302">
        <v>1120</v>
      </c>
      <c r="C22" s="321" t="s">
        <v>402</v>
      </c>
      <c r="D22" s="321"/>
      <c r="E22" s="305"/>
      <c r="F22" s="306"/>
      <c r="G22" s="306"/>
      <c r="H22" s="305"/>
      <c r="I22" s="305"/>
      <c r="J22" s="305"/>
      <c r="K22" s="305"/>
      <c r="L22" s="305"/>
      <c r="M22" s="305"/>
      <c r="N22" s="305"/>
      <c r="O22" s="319"/>
      <c r="P22" s="318"/>
      <c r="Q22" s="319"/>
      <c r="R22" s="318"/>
      <c r="S22" s="319"/>
      <c r="T22" s="319"/>
    </row>
    <row r="23" spans="1:38" s="320" customFormat="1" ht="31.2" x14ac:dyDescent="0.25">
      <c r="A23" s="303" t="s">
        <v>189</v>
      </c>
      <c r="B23" s="302">
        <v>1130</v>
      </c>
      <c r="C23" s="321" t="s">
        <v>402</v>
      </c>
      <c r="D23" s="321"/>
      <c r="E23" s="305"/>
      <c r="F23" s="306"/>
      <c r="G23" s="306"/>
      <c r="H23" s="305"/>
      <c r="I23" s="305"/>
      <c r="J23" s="305"/>
      <c r="K23" s="305"/>
      <c r="L23" s="305"/>
      <c r="M23" s="305"/>
      <c r="N23" s="305"/>
      <c r="O23" s="319"/>
      <c r="P23" s="318"/>
      <c r="Q23" s="319"/>
      <c r="R23" s="318"/>
      <c r="S23" s="319"/>
      <c r="T23" s="319"/>
    </row>
    <row r="24" spans="1:38" s="327" customFormat="1" ht="16.2" x14ac:dyDescent="0.25">
      <c r="A24" s="313" t="s">
        <v>231</v>
      </c>
      <c r="B24" s="322">
        <v>1200</v>
      </c>
      <c r="C24" s="323" t="s">
        <v>232</v>
      </c>
      <c r="D24" s="323"/>
      <c r="E24" s="324">
        <v>41580900</v>
      </c>
      <c r="F24" s="315">
        <v>38839400</v>
      </c>
      <c r="G24" s="315">
        <v>0</v>
      </c>
      <c r="H24" s="315">
        <v>0</v>
      </c>
      <c r="I24" s="315">
        <v>0</v>
      </c>
      <c r="J24" s="315">
        <v>0</v>
      </c>
      <c r="K24" s="315">
        <v>0</v>
      </c>
      <c r="L24" s="315">
        <v>0</v>
      </c>
      <c r="M24" s="315">
        <v>2741500</v>
      </c>
      <c r="N24" s="315">
        <v>0</v>
      </c>
      <c r="O24" s="324" t="e">
        <v>#REF!</v>
      </c>
      <c r="P24" s="315">
        <v>0</v>
      </c>
      <c r="Q24" s="315" t="e">
        <v>#REF!</v>
      </c>
      <c r="R24" s="315">
        <v>0</v>
      </c>
      <c r="S24" s="315">
        <v>0</v>
      </c>
      <c r="T24" s="315">
        <v>0</v>
      </c>
      <c r="U24" s="315">
        <v>0</v>
      </c>
      <c r="V24" s="315">
        <v>0</v>
      </c>
      <c r="W24" s="315">
        <v>0</v>
      </c>
      <c r="X24" s="315">
        <v>0</v>
      </c>
      <c r="Y24" s="316"/>
      <c r="Z24" s="325"/>
      <c r="AA24" s="316"/>
      <c r="AB24" s="325"/>
      <c r="AC24" s="316"/>
      <c r="AD24" s="326"/>
    </row>
    <row r="25" spans="1:38" s="330" customFormat="1" ht="15.75" customHeight="1" x14ac:dyDescent="0.25">
      <c r="A25" s="303" t="s">
        <v>182</v>
      </c>
      <c r="B25" s="302"/>
      <c r="C25" s="328"/>
      <c r="D25" s="328"/>
      <c r="E25" s="305"/>
      <c r="F25" s="306"/>
      <c r="G25" s="306"/>
      <c r="H25" s="306"/>
      <c r="I25" s="306"/>
      <c r="J25" s="306"/>
      <c r="K25" s="306"/>
      <c r="L25" s="306"/>
      <c r="M25" s="306"/>
      <c r="N25" s="306"/>
      <c r="O25" s="305"/>
      <c r="P25" s="306"/>
      <c r="Q25" s="306"/>
      <c r="R25" s="306"/>
      <c r="S25" s="306"/>
      <c r="T25" s="306"/>
      <c r="U25" s="306"/>
      <c r="V25" s="306"/>
      <c r="W25" s="306"/>
      <c r="X25" s="306"/>
      <c r="Y25" s="319"/>
      <c r="Z25" s="318"/>
      <c r="AA25" s="319"/>
      <c r="AB25" s="318"/>
      <c r="AC25" s="319"/>
      <c r="AD25" s="329"/>
    </row>
    <row r="26" spans="1:38" s="330" customFormat="1" ht="16.2" x14ac:dyDescent="0.25">
      <c r="A26" s="303" t="s">
        <v>418</v>
      </c>
      <c r="B26" s="302">
        <v>1210</v>
      </c>
      <c r="C26" s="321" t="s">
        <v>232</v>
      </c>
      <c r="D26" s="321" t="s">
        <v>232</v>
      </c>
      <c r="E26" s="305">
        <v>38839400</v>
      </c>
      <c r="F26" s="306">
        <v>38839400</v>
      </c>
      <c r="G26" s="306"/>
      <c r="H26" s="306"/>
      <c r="I26" s="306"/>
      <c r="J26" s="306"/>
      <c r="K26" s="306"/>
      <c r="L26" s="306"/>
      <c r="N26" s="306"/>
      <c r="O26" s="305" t="e">
        <v>#REF!</v>
      </c>
      <c r="P26" s="306">
        <v>0</v>
      </c>
      <c r="Q26" s="306" t="e">
        <v>#REF!</v>
      </c>
      <c r="R26" s="306"/>
      <c r="S26" s="306"/>
      <c r="T26" s="306"/>
      <c r="U26" s="306"/>
      <c r="V26" s="306"/>
      <c r="X26" s="306"/>
      <c r="Y26" s="319"/>
      <c r="Z26" s="318"/>
      <c r="AA26" s="319"/>
      <c r="AB26" s="318"/>
      <c r="AC26" s="319"/>
      <c r="AD26" s="329"/>
    </row>
    <row r="27" spans="1:38" ht="31.2" x14ac:dyDescent="0.25">
      <c r="A27" s="303" t="s">
        <v>419</v>
      </c>
      <c r="B27" s="302">
        <v>1220</v>
      </c>
      <c r="C27" s="321" t="s">
        <v>232</v>
      </c>
      <c r="D27" s="321" t="s">
        <v>233</v>
      </c>
      <c r="E27" s="331">
        <v>2741500</v>
      </c>
      <c r="F27" s="331"/>
      <c r="G27" s="331"/>
      <c r="H27" s="331"/>
      <c r="I27" s="331"/>
      <c r="J27" s="331"/>
      <c r="K27" s="331"/>
      <c r="L27" s="331"/>
      <c r="M27" s="306">
        <v>2741500</v>
      </c>
      <c r="N27" s="331"/>
      <c r="O27" s="331">
        <v>0</v>
      </c>
      <c r="P27" s="331"/>
      <c r="Q27" s="331"/>
      <c r="R27" s="331"/>
      <c r="S27" s="331"/>
      <c r="T27" s="331"/>
      <c r="U27" s="331"/>
      <c r="V27" s="331"/>
      <c r="W27" s="306">
        <v>0</v>
      </c>
      <c r="X27" s="331"/>
      <c r="Y27" s="527"/>
      <c r="Z27" s="528"/>
      <c r="AA27" s="528"/>
      <c r="AB27" s="528"/>
      <c r="AC27" s="528"/>
      <c r="AD27" s="528"/>
      <c r="AE27" s="528"/>
      <c r="AF27" s="528"/>
      <c r="AG27" s="528"/>
    </row>
    <row r="28" spans="1:38" ht="46.8" x14ac:dyDescent="0.25">
      <c r="A28" s="303" t="s">
        <v>420</v>
      </c>
      <c r="B28" s="302">
        <v>1230</v>
      </c>
      <c r="C28" s="302" t="s">
        <v>232</v>
      </c>
      <c r="D28" s="302">
        <v>135</v>
      </c>
      <c r="E28" s="331"/>
      <c r="F28" s="331"/>
      <c r="G28" s="331"/>
      <c r="H28" s="331"/>
      <c r="I28" s="331"/>
      <c r="J28" s="331"/>
      <c r="K28" s="331"/>
      <c r="L28" s="331"/>
      <c r="M28" s="331">
        <v>0</v>
      </c>
      <c r="N28" s="331"/>
      <c r="O28" s="331"/>
      <c r="P28" s="331"/>
      <c r="Q28" s="331"/>
      <c r="R28" s="331"/>
      <c r="S28" s="331"/>
      <c r="T28" s="331"/>
      <c r="U28" s="331"/>
      <c r="V28" s="331"/>
      <c r="W28" s="331">
        <v>0</v>
      </c>
      <c r="X28" s="331"/>
      <c r="Y28" s="332"/>
      <c r="Z28" s="333"/>
      <c r="AA28" s="333"/>
      <c r="AB28" s="333"/>
      <c r="AC28" s="333"/>
      <c r="AD28" s="333"/>
      <c r="AE28" s="333"/>
      <c r="AF28" s="333"/>
      <c r="AG28" s="333"/>
      <c r="AH28" s="333"/>
      <c r="AI28" s="333"/>
      <c r="AJ28" s="333"/>
      <c r="AK28" s="333"/>
      <c r="AL28" s="333"/>
    </row>
    <row r="29" spans="1:38" ht="46.8" x14ac:dyDescent="0.25">
      <c r="A29" s="303" t="s">
        <v>191</v>
      </c>
      <c r="B29" s="302">
        <v>1240</v>
      </c>
      <c r="C29" s="302" t="s">
        <v>232</v>
      </c>
      <c r="D29" s="302">
        <v>136</v>
      </c>
      <c r="E29" s="331">
        <v>0</v>
      </c>
      <c r="F29" s="331"/>
      <c r="G29" s="331"/>
      <c r="H29" s="331"/>
      <c r="I29" s="331"/>
      <c r="J29" s="331"/>
      <c r="K29" s="331"/>
      <c r="L29" s="331"/>
      <c r="M29" s="331">
        <v>0</v>
      </c>
      <c r="N29" s="331"/>
      <c r="O29" s="331">
        <v>0</v>
      </c>
      <c r="P29" s="331"/>
      <c r="Q29" s="331"/>
      <c r="R29" s="331"/>
      <c r="S29" s="331"/>
      <c r="T29" s="331"/>
      <c r="U29" s="331"/>
      <c r="V29" s="331"/>
      <c r="W29" s="331"/>
      <c r="X29" s="331"/>
      <c r="Y29" s="298"/>
      <c r="Z29" s="334"/>
      <c r="AA29" s="298"/>
      <c r="AB29" s="334"/>
      <c r="AC29" s="298"/>
      <c r="AD29" s="298"/>
    </row>
    <row r="30" spans="1:38" s="317" customFormat="1" x14ac:dyDescent="0.25">
      <c r="A30" s="313" t="s">
        <v>234</v>
      </c>
      <c r="B30" s="322">
        <v>1300</v>
      </c>
      <c r="C30" s="322">
        <v>140</v>
      </c>
      <c r="D30" s="322"/>
      <c r="E30" s="335">
        <v>0</v>
      </c>
      <c r="F30" s="335">
        <v>0</v>
      </c>
      <c r="G30" s="335">
        <v>0</v>
      </c>
      <c r="H30" s="335">
        <v>0</v>
      </c>
      <c r="I30" s="335">
        <v>0</v>
      </c>
      <c r="J30" s="335">
        <v>0</v>
      </c>
      <c r="K30" s="335">
        <v>0</v>
      </c>
      <c r="L30" s="335">
        <v>0</v>
      </c>
      <c r="M30" s="335">
        <v>0</v>
      </c>
      <c r="N30" s="335">
        <v>0</v>
      </c>
      <c r="O30" s="335">
        <v>0</v>
      </c>
      <c r="P30" s="335">
        <v>0</v>
      </c>
      <c r="Q30" s="335">
        <v>0</v>
      </c>
      <c r="R30" s="335">
        <v>0</v>
      </c>
      <c r="S30" s="335">
        <v>0</v>
      </c>
      <c r="T30" s="335">
        <v>0</v>
      </c>
      <c r="U30" s="335">
        <v>0</v>
      </c>
      <c r="V30" s="335">
        <v>0</v>
      </c>
      <c r="W30" s="335">
        <v>0</v>
      </c>
      <c r="X30" s="335">
        <v>0</v>
      </c>
      <c r="Y30" s="336"/>
      <c r="Z30" s="325"/>
      <c r="AA30" s="316"/>
      <c r="AB30" s="325"/>
      <c r="AC30" s="316"/>
      <c r="AD30" s="316"/>
    </row>
    <row r="31" spans="1:38" x14ac:dyDescent="0.25">
      <c r="A31" s="337" t="s">
        <v>182</v>
      </c>
      <c r="B31" s="302"/>
      <c r="C31" s="302"/>
      <c r="D31" s="302"/>
      <c r="E31" s="331"/>
      <c r="F31" s="331"/>
      <c r="G31" s="331"/>
      <c r="H31" s="331"/>
      <c r="I31" s="331"/>
      <c r="J31" s="331"/>
      <c r="K31" s="331"/>
      <c r="L31" s="331"/>
      <c r="M31" s="331"/>
      <c r="N31" s="331"/>
      <c r="O31" s="331"/>
      <c r="P31" s="331"/>
      <c r="Q31" s="331"/>
      <c r="R31" s="331"/>
      <c r="S31" s="331"/>
      <c r="T31" s="331"/>
      <c r="U31" s="331"/>
      <c r="V31" s="331"/>
      <c r="W31" s="331"/>
      <c r="X31" s="331"/>
      <c r="Y31" s="298"/>
      <c r="Z31" s="334"/>
      <c r="AA31" s="298"/>
      <c r="AB31" s="334"/>
      <c r="AC31" s="298"/>
      <c r="AD31" s="298"/>
    </row>
    <row r="32" spans="1:38" x14ac:dyDescent="0.25">
      <c r="A32" s="337"/>
      <c r="B32" s="302">
        <v>1310</v>
      </c>
      <c r="C32" s="302">
        <v>140</v>
      </c>
      <c r="D32" s="302"/>
      <c r="E32" s="331">
        <v>0</v>
      </c>
      <c r="F32" s="331"/>
      <c r="G32" s="331"/>
      <c r="H32" s="331"/>
      <c r="I32" s="331"/>
      <c r="J32" s="331"/>
      <c r="K32" s="331"/>
      <c r="L32" s="331"/>
      <c r="M32" s="331"/>
      <c r="N32" s="331"/>
      <c r="O32" s="331">
        <v>0</v>
      </c>
      <c r="P32" s="331"/>
      <c r="Q32" s="331"/>
      <c r="R32" s="331"/>
      <c r="S32" s="331"/>
      <c r="T32" s="331"/>
      <c r="U32" s="331"/>
      <c r="V32" s="331"/>
      <c r="W32" s="331"/>
      <c r="X32" s="331"/>
      <c r="Y32" s="298"/>
      <c r="Z32" s="334"/>
      <c r="AA32" s="298"/>
      <c r="AB32" s="334"/>
      <c r="AC32" s="298"/>
      <c r="AD32" s="298"/>
    </row>
    <row r="33" spans="1:30" s="317" customFormat="1" x14ac:dyDescent="0.25">
      <c r="A33" s="313" t="s">
        <v>235</v>
      </c>
      <c r="B33" s="322">
        <v>1400</v>
      </c>
      <c r="C33" s="322">
        <v>150</v>
      </c>
      <c r="D33" s="322"/>
      <c r="E33" s="335">
        <v>1186900</v>
      </c>
      <c r="F33" s="335">
        <v>0</v>
      </c>
      <c r="G33" s="335"/>
      <c r="H33" s="335">
        <v>976300</v>
      </c>
      <c r="I33" s="335">
        <v>0</v>
      </c>
      <c r="J33" s="335">
        <v>210600</v>
      </c>
      <c r="K33" s="335">
        <v>0</v>
      </c>
      <c r="L33" s="335">
        <v>0</v>
      </c>
      <c r="M33" s="335">
        <v>0</v>
      </c>
      <c r="N33" s="335">
        <v>0</v>
      </c>
      <c r="O33" s="335">
        <v>0</v>
      </c>
      <c r="P33" s="335">
        <v>0</v>
      </c>
      <c r="Q33" s="335">
        <v>0</v>
      </c>
      <c r="R33" s="335">
        <v>0</v>
      </c>
      <c r="S33" s="335">
        <v>0</v>
      </c>
      <c r="T33" s="335">
        <v>0</v>
      </c>
      <c r="U33" s="335">
        <v>0</v>
      </c>
      <c r="V33" s="335">
        <v>0</v>
      </c>
      <c r="W33" s="335">
        <v>0</v>
      </c>
      <c r="X33" s="335">
        <v>0</v>
      </c>
      <c r="Y33" s="316"/>
      <c r="Z33" s="325"/>
      <c r="AA33" s="316"/>
      <c r="AB33" s="325"/>
      <c r="AC33" s="316"/>
      <c r="AD33" s="316"/>
    </row>
    <row r="34" spans="1:30" x14ac:dyDescent="0.25">
      <c r="A34" s="303" t="s">
        <v>182</v>
      </c>
      <c r="B34" s="302"/>
      <c r="C34" s="302"/>
      <c r="D34" s="302"/>
      <c r="E34" s="331"/>
      <c r="F34" s="331"/>
      <c r="G34" s="331"/>
      <c r="H34" s="331"/>
      <c r="I34" s="331"/>
      <c r="J34" s="331"/>
      <c r="K34" s="331"/>
      <c r="L34" s="331"/>
      <c r="M34" s="331"/>
      <c r="N34" s="331"/>
      <c r="O34" s="331"/>
      <c r="P34" s="331"/>
      <c r="Q34" s="331"/>
      <c r="R34" s="331"/>
      <c r="S34" s="331"/>
      <c r="T34" s="331"/>
      <c r="U34" s="331"/>
      <c r="V34" s="331"/>
      <c r="W34" s="331"/>
      <c r="X34" s="331"/>
      <c r="Y34" s="298"/>
      <c r="Z34" s="334"/>
      <c r="AA34" s="298"/>
      <c r="AB34" s="334"/>
      <c r="AC34" s="298"/>
      <c r="AD34" s="298"/>
    </row>
    <row r="35" spans="1:30" x14ac:dyDescent="0.25">
      <c r="A35" s="303" t="s">
        <v>194</v>
      </c>
      <c r="B35" s="302">
        <v>1410</v>
      </c>
      <c r="C35" s="321" t="s">
        <v>238</v>
      </c>
      <c r="D35" s="321"/>
      <c r="E35" s="331">
        <v>1186900</v>
      </c>
      <c r="F35" s="331"/>
      <c r="G35" s="331"/>
      <c r="H35" s="331">
        <v>976300</v>
      </c>
      <c r="I35" s="331">
        <v>0</v>
      </c>
      <c r="J35" s="331">
        <v>210600</v>
      </c>
      <c r="K35" s="331"/>
      <c r="M35" s="331"/>
      <c r="N35" s="331"/>
      <c r="O35" s="331"/>
      <c r="P35" s="331"/>
      <c r="Q35" s="331"/>
      <c r="R35" s="331"/>
      <c r="S35" s="331"/>
      <c r="T35" s="331"/>
      <c r="U35" s="331"/>
      <c r="V35" s="331"/>
      <c r="W35" s="331"/>
      <c r="X35" s="331"/>
      <c r="Y35" s="298"/>
      <c r="Z35" s="334"/>
      <c r="AA35" s="298"/>
      <c r="AB35" s="334"/>
      <c r="AC35" s="298"/>
      <c r="AD35" s="298"/>
    </row>
    <row r="36" spans="1:30" x14ac:dyDescent="0.25">
      <c r="A36" s="303" t="s">
        <v>199</v>
      </c>
      <c r="B36" s="302">
        <v>1420</v>
      </c>
      <c r="C36" s="321" t="s">
        <v>238</v>
      </c>
      <c r="D36" s="321"/>
      <c r="E36" s="331">
        <v>0</v>
      </c>
      <c r="F36" s="331"/>
      <c r="G36" s="331"/>
      <c r="H36" s="331"/>
      <c r="I36" s="331"/>
      <c r="J36" s="331"/>
      <c r="K36" s="331"/>
      <c r="L36" s="331">
        <v>0</v>
      </c>
      <c r="M36" s="338"/>
      <c r="N36" s="338"/>
      <c r="O36" s="331"/>
      <c r="P36" s="331"/>
      <c r="Q36" s="331"/>
      <c r="R36" s="331"/>
      <c r="S36" s="331"/>
      <c r="T36" s="331"/>
      <c r="U36" s="331"/>
      <c r="V36" s="331"/>
      <c r="W36" s="331"/>
      <c r="X36" s="331"/>
      <c r="Y36" s="298"/>
      <c r="Z36" s="334"/>
      <c r="AA36" s="298"/>
      <c r="AB36" s="334"/>
      <c r="AC36" s="298"/>
      <c r="AD36" s="298"/>
    </row>
    <row r="37" spans="1:30" s="320" customFormat="1" x14ac:dyDescent="0.25">
      <c r="A37" s="303" t="s">
        <v>236</v>
      </c>
      <c r="B37" s="302">
        <v>1430</v>
      </c>
      <c r="C37" s="321" t="s">
        <v>238</v>
      </c>
      <c r="D37" s="321"/>
      <c r="E37" s="331">
        <v>0</v>
      </c>
      <c r="F37" s="331"/>
      <c r="G37" s="331"/>
      <c r="H37" s="331"/>
      <c r="I37" s="331"/>
      <c r="J37" s="331"/>
      <c r="K37" s="331"/>
      <c r="L37" s="331"/>
      <c r="M37" s="331"/>
      <c r="N37" s="331">
        <v>0</v>
      </c>
      <c r="O37" s="331">
        <v>0</v>
      </c>
      <c r="P37" s="331"/>
      <c r="Q37" s="331"/>
      <c r="R37" s="331"/>
      <c r="S37" s="331"/>
      <c r="T37" s="331"/>
      <c r="U37" s="331"/>
      <c r="V37" s="331"/>
      <c r="W37" s="331"/>
      <c r="X37" s="331"/>
      <c r="Y37" s="319"/>
      <c r="Z37" s="318"/>
      <c r="AA37" s="319"/>
      <c r="AB37" s="318"/>
      <c r="AC37" s="319"/>
      <c r="AD37" s="319"/>
    </row>
    <row r="38" spans="1:30" s="317" customFormat="1" x14ac:dyDescent="0.25">
      <c r="A38" s="313" t="s">
        <v>237</v>
      </c>
      <c r="B38" s="322">
        <v>1500</v>
      </c>
      <c r="C38" s="323" t="s">
        <v>392</v>
      </c>
      <c r="D38" s="323"/>
      <c r="E38" s="335">
        <v>0</v>
      </c>
      <c r="F38" s="335">
        <v>0</v>
      </c>
      <c r="G38" s="335"/>
      <c r="H38" s="335">
        <v>0</v>
      </c>
      <c r="I38" s="335">
        <v>0</v>
      </c>
      <c r="J38" s="335">
        <v>0</v>
      </c>
      <c r="K38" s="335">
        <v>0</v>
      </c>
      <c r="L38" s="335">
        <v>0</v>
      </c>
      <c r="M38" s="335">
        <v>0</v>
      </c>
      <c r="N38" s="335">
        <v>0</v>
      </c>
      <c r="O38" s="335" t="e">
        <v>#REF!</v>
      </c>
      <c r="P38" s="335" t="e">
        <v>#REF!</v>
      </c>
      <c r="Q38" s="335" t="e">
        <v>#REF!</v>
      </c>
      <c r="R38" s="335" t="e">
        <v>#REF!</v>
      </c>
      <c r="S38" s="335" t="e">
        <v>#REF!</v>
      </c>
      <c r="T38" s="335" t="e">
        <v>#REF!</v>
      </c>
      <c r="U38" s="335" t="e">
        <v>#REF!</v>
      </c>
      <c r="V38" s="335" t="e">
        <v>#REF!</v>
      </c>
      <c r="W38" s="335" t="e">
        <v>#REF!</v>
      </c>
      <c r="X38" s="335" t="e">
        <v>#REF!</v>
      </c>
      <c r="Y38" s="316"/>
      <c r="Z38" s="325"/>
      <c r="AA38" s="316"/>
      <c r="AB38" s="325"/>
      <c r="AC38" s="316"/>
      <c r="AD38" s="316"/>
    </row>
    <row r="39" spans="1:30" s="320" customFormat="1" x14ac:dyDescent="0.25">
      <c r="A39" s="303" t="s">
        <v>182</v>
      </c>
      <c r="B39" s="302"/>
      <c r="C39" s="321"/>
      <c r="D39" s="321"/>
      <c r="E39" s="331"/>
      <c r="F39" s="331"/>
      <c r="G39" s="331"/>
      <c r="H39" s="338"/>
      <c r="I39" s="338"/>
      <c r="J39" s="338"/>
      <c r="K39" s="338"/>
      <c r="L39" s="338"/>
      <c r="M39" s="338"/>
      <c r="N39" s="338"/>
      <c r="O39" s="331"/>
      <c r="P39" s="331"/>
      <c r="Q39" s="331"/>
      <c r="R39" s="338"/>
      <c r="S39" s="338"/>
      <c r="T39" s="338"/>
      <c r="U39" s="338"/>
      <c r="V39" s="338"/>
      <c r="W39" s="338"/>
      <c r="X39" s="338"/>
      <c r="Y39" s="319"/>
      <c r="Z39" s="318"/>
      <c r="AA39" s="319"/>
      <c r="AB39" s="318"/>
      <c r="AC39" s="319"/>
      <c r="AD39" s="319"/>
    </row>
    <row r="40" spans="1:30" s="320" customFormat="1" x14ac:dyDescent="0.25">
      <c r="A40" s="303"/>
      <c r="B40" s="302"/>
      <c r="C40" s="321"/>
      <c r="D40" s="408"/>
      <c r="E40" s="366"/>
      <c r="F40" s="331"/>
      <c r="G40" s="338"/>
      <c r="H40" s="338"/>
      <c r="I40" s="338"/>
      <c r="J40" s="338"/>
      <c r="K40" s="338"/>
      <c r="L40" s="367"/>
      <c r="M40" s="402"/>
      <c r="N40" s="403"/>
      <c r="O40" s="319"/>
      <c r="P40" s="318"/>
      <c r="Q40" s="319"/>
      <c r="R40" s="318"/>
      <c r="S40" s="319"/>
      <c r="T40" s="319"/>
    </row>
    <row r="41" spans="1:30" s="317" customFormat="1" x14ac:dyDescent="0.25">
      <c r="A41" s="313" t="s">
        <v>421</v>
      </c>
      <c r="B41" s="322">
        <v>1900</v>
      </c>
      <c r="C41" s="322"/>
      <c r="D41" s="322"/>
      <c r="E41" s="335">
        <v>0</v>
      </c>
      <c r="F41" s="335">
        <v>0</v>
      </c>
      <c r="G41" s="335">
        <v>0</v>
      </c>
      <c r="H41" s="335">
        <v>0</v>
      </c>
      <c r="I41" s="335">
        <v>0</v>
      </c>
      <c r="J41" s="335">
        <v>0</v>
      </c>
      <c r="K41" s="335">
        <v>0</v>
      </c>
      <c r="L41" s="335">
        <v>0</v>
      </c>
      <c r="M41" s="405">
        <v>0</v>
      </c>
      <c r="N41" s="335"/>
      <c r="O41" s="336"/>
      <c r="P41" s="325"/>
      <c r="Q41" s="316"/>
      <c r="R41" s="325"/>
      <c r="S41" s="316"/>
      <c r="T41" s="316"/>
    </row>
    <row r="42" spans="1:30" s="320" customFormat="1" x14ac:dyDescent="0.25">
      <c r="A42" s="303" t="s">
        <v>182</v>
      </c>
      <c r="B42" s="302"/>
      <c r="C42" s="321"/>
      <c r="D42" s="408"/>
      <c r="E42" s="366"/>
      <c r="F42" s="331"/>
      <c r="G42" s="338"/>
      <c r="H42" s="338"/>
      <c r="I42" s="338"/>
      <c r="J42" s="338"/>
      <c r="K42" s="338"/>
      <c r="L42" s="367"/>
      <c r="M42" s="402"/>
      <c r="N42" s="403"/>
      <c r="O42" s="319"/>
      <c r="P42" s="318"/>
      <c r="Q42" s="319"/>
      <c r="R42" s="318"/>
      <c r="S42" s="319"/>
      <c r="T42" s="319"/>
    </row>
    <row r="43" spans="1:30" s="320" customFormat="1" x14ac:dyDescent="0.25">
      <c r="A43" s="303"/>
      <c r="B43" s="302"/>
      <c r="C43" s="321"/>
      <c r="D43" s="408"/>
      <c r="E43" s="366"/>
      <c r="F43" s="331"/>
      <c r="G43" s="338"/>
      <c r="H43" s="338"/>
      <c r="I43" s="338"/>
      <c r="J43" s="338"/>
      <c r="K43" s="338"/>
      <c r="L43" s="367"/>
      <c r="M43" s="402"/>
      <c r="N43" s="403"/>
      <c r="O43" s="319"/>
      <c r="P43" s="318"/>
      <c r="Q43" s="319"/>
      <c r="R43" s="318"/>
      <c r="S43" s="319"/>
      <c r="T43" s="319"/>
    </row>
    <row r="44" spans="1:30" s="317" customFormat="1" ht="18" x14ac:dyDescent="0.25">
      <c r="A44" s="313" t="s">
        <v>239</v>
      </c>
      <c r="B44" s="322">
        <v>1980</v>
      </c>
      <c r="C44" s="322" t="s">
        <v>190</v>
      </c>
      <c r="D44" s="322"/>
      <c r="E44" s="335">
        <v>0</v>
      </c>
      <c r="F44" s="335">
        <v>0</v>
      </c>
      <c r="G44" s="335"/>
      <c r="H44" s="335">
        <v>0</v>
      </c>
      <c r="I44" s="335">
        <v>0</v>
      </c>
      <c r="J44" s="335">
        <v>0</v>
      </c>
      <c r="K44" s="335">
        <v>0</v>
      </c>
      <c r="L44" s="335">
        <v>0</v>
      </c>
      <c r="M44" s="335">
        <v>0</v>
      </c>
      <c r="N44" s="335">
        <v>0</v>
      </c>
      <c r="O44" s="335">
        <v>0</v>
      </c>
      <c r="P44" s="335">
        <v>0</v>
      </c>
      <c r="Q44" s="335">
        <v>0</v>
      </c>
      <c r="R44" s="335">
        <v>0</v>
      </c>
      <c r="S44" s="335">
        <v>0</v>
      </c>
      <c r="T44" s="335">
        <v>0</v>
      </c>
      <c r="U44" s="335">
        <v>0</v>
      </c>
      <c r="V44" s="335">
        <v>0</v>
      </c>
      <c r="W44" s="335">
        <v>0</v>
      </c>
      <c r="X44" s="335">
        <v>0</v>
      </c>
      <c r="Y44" s="336"/>
      <c r="Z44" s="325"/>
      <c r="AA44" s="316"/>
      <c r="AB44" s="325"/>
      <c r="AC44" s="316"/>
      <c r="AD44" s="316"/>
    </row>
    <row r="45" spans="1:30" x14ac:dyDescent="0.25">
      <c r="A45" s="303" t="s">
        <v>187</v>
      </c>
      <c r="B45" s="302"/>
      <c r="C45" s="302"/>
      <c r="D45" s="302"/>
      <c r="E45" s="305"/>
      <c r="F45" s="305"/>
      <c r="G45" s="305"/>
      <c r="H45" s="305"/>
      <c r="I45" s="305"/>
      <c r="J45" s="305"/>
      <c r="K45" s="305"/>
      <c r="L45" s="305"/>
      <c r="M45" s="305"/>
      <c r="N45" s="305"/>
      <c r="O45" s="305"/>
      <c r="P45" s="305"/>
      <c r="Q45" s="305"/>
      <c r="R45" s="305"/>
      <c r="S45" s="305"/>
      <c r="T45" s="305"/>
      <c r="U45" s="305"/>
      <c r="V45" s="305"/>
      <c r="W45" s="305"/>
      <c r="X45" s="305"/>
      <c r="Y45" s="298"/>
      <c r="Z45" s="334"/>
      <c r="AA45" s="298"/>
      <c r="AB45" s="334"/>
      <c r="AC45" s="298"/>
      <c r="AD45" s="298"/>
    </row>
    <row r="46" spans="1:30" s="320" customFormat="1" ht="36.75" customHeight="1" x14ac:dyDescent="0.25">
      <c r="A46" s="303" t="s">
        <v>240</v>
      </c>
      <c r="B46" s="302">
        <v>1981</v>
      </c>
      <c r="C46" s="321" t="s">
        <v>241</v>
      </c>
      <c r="D46" s="321"/>
      <c r="E46" s="340">
        <v>0</v>
      </c>
      <c r="F46" s="340"/>
      <c r="G46" s="340"/>
      <c r="H46" s="340"/>
      <c r="I46" s="340"/>
      <c r="J46" s="340"/>
      <c r="K46" s="340"/>
      <c r="L46" s="340"/>
      <c r="M46" s="340"/>
      <c r="N46" s="340"/>
      <c r="O46" s="340">
        <v>0</v>
      </c>
      <c r="P46" s="340"/>
      <c r="Q46" s="340"/>
      <c r="R46" s="340"/>
      <c r="S46" s="340"/>
      <c r="T46" s="340"/>
      <c r="U46" s="340"/>
      <c r="V46" s="340"/>
      <c r="W46" s="340"/>
      <c r="X46" s="340"/>
      <c r="Y46" s="319"/>
      <c r="Z46" s="318"/>
      <c r="AA46" s="319"/>
      <c r="AB46" s="318"/>
      <c r="AC46" s="319"/>
      <c r="AD46" s="319"/>
    </row>
    <row r="47" spans="1:30" x14ac:dyDescent="0.25">
      <c r="A47" s="303"/>
      <c r="B47" s="302"/>
      <c r="C47" s="302"/>
      <c r="D47" s="302"/>
      <c r="E47" s="305"/>
      <c r="F47" s="305"/>
      <c r="G47" s="305"/>
      <c r="H47" s="305"/>
      <c r="I47" s="305"/>
      <c r="J47" s="305"/>
      <c r="K47" s="305"/>
      <c r="L47" s="305"/>
      <c r="M47" s="305"/>
      <c r="N47" s="305"/>
      <c r="O47" s="305"/>
      <c r="P47" s="305"/>
      <c r="Q47" s="305"/>
      <c r="R47" s="305"/>
      <c r="S47" s="305"/>
      <c r="T47" s="305"/>
      <c r="U47" s="305"/>
      <c r="V47" s="305"/>
      <c r="W47" s="305"/>
      <c r="X47" s="305"/>
      <c r="Y47" s="298"/>
      <c r="Z47" s="334"/>
      <c r="AA47" s="298"/>
      <c r="AB47" s="334"/>
      <c r="AC47" s="298"/>
      <c r="AD47" s="298"/>
    </row>
    <row r="48" spans="1:30" s="312" customFormat="1" x14ac:dyDescent="0.25">
      <c r="A48" s="308" t="s">
        <v>242</v>
      </c>
      <c r="B48" s="341">
        <v>2000</v>
      </c>
      <c r="C48" s="341" t="s">
        <v>190</v>
      </c>
      <c r="D48" s="341"/>
      <c r="E48" s="342">
        <v>42767800</v>
      </c>
      <c r="F48" s="342">
        <v>38839400</v>
      </c>
      <c r="G48" s="342"/>
      <c r="H48" s="342">
        <v>976300</v>
      </c>
      <c r="I48" s="342">
        <v>0</v>
      </c>
      <c r="J48" s="342">
        <v>210600</v>
      </c>
      <c r="K48" s="342">
        <v>0</v>
      </c>
      <c r="L48" s="342">
        <v>0</v>
      </c>
      <c r="M48" s="342">
        <v>2741500</v>
      </c>
      <c r="N48" s="342">
        <v>0</v>
      </c>
      <c r="O48" s="342"/>
      <c r="P48" s="342"/>
      <c r="Q48" s="342"/>
      <c r="R48" s="342"/>
      <c r="S48" s="342"/>
      <c r="T48" s="342"/>
      <c r="U48" s="342"/>
      <c r="V48" s="342"/>
      <c r="W48" s="342"/>
      <c r="X48" s="342">
        <v>0</v>
      </c>
      <c r="Y48" s="343"/>
      <c r="Z48" s="344"/>
      <c r="AA48" s="343"/>
      <c r="AB48" s="344"/>
      <c r="AC48" s="343"/>
      <c r="AD48" s="343"/>
    </row>
    <row r="49" spans="1:30" x14ac:dyDescent="0.25">
      <c r="A49" s="303" t="s">
        <v>182</v>
      </c>
      <c r="B49" s="302"/>
      <c r="C49" s="302"/>
      <c r="D49" s="302"/>
      <c r="E49" s="305"/>
      <c r="F49" s="305"/>
      <c r="G49" s="305"/>
      <c r="H49" s="305"/>
      <c r="I49" s="305"/>
      <c r="J49" s="305"/>
      <c r="K49" s="305"/>
      <c r="L49" s="305"/>
      <c r="M49" s="305"/>
      <c r="N49" s="305"/>
      <c r="O49" s="305"/>
      <c r="P49" s="305"/>
      <c r="Q49" s="305"/>
      <c r="R49" s="305"/>
      <c r="S49" s="305"/>
      <c r="T49" s="305"/>
      <c r="U49" s="305"/>
      <c r="V49" s="305"/>
      <c r="W49" s="305"/>
      <c r="X49" s="305"/>
      <c r="Y49" s="298"/>
      <c r="Z49" s="334"/>
      <c r="AA49" s="298"/>
      <c r="AB49" s="334"/>
      <c r="AC49" s="298"/>
      <c r="AD49" s="298"/>
    </row>
    <row r="50" spans="1:30" s="317" customFormat="1" ht="36.75" customHeight="1" x14ac:dyDescent="0.25">
      <c r="A50" s="313" t="s">
        <v>243</v>
      </c>
      <c r="B50" s="322">
        <v>2100</v>
      </c>
      <c r="C50" s="322" t="s">
        <v>190</v>
      </c>
      <c r="D50" s="322"/>
      <c r="E50" s="324">
        <v>36171100</v>
      </c>
      <c r="F50" s="324">
        <v>34762600</v>
      </c>
      <c r="G50" s="324"/>
      <c r="H50" s="324">
        <v>976300</v>
      </c>
      <c r="I50" s="324">
        <v>0</v>
      </c>
      <c r="J50" s="324">
        <v>210600</v>
      </c>
      <c r="K50" s="324">
        <v>0</v>
      </c>
      <c r="L50" s="324">
        <v>0</v>
      </c>
      <c r="M50" s="324">
        <v>221600</v>
      </c>
      <c r="N50" s="324">
        <v>0</v>
      </c>
      <c r="O50" s="324"/>
      <c r="P50" s="324"/>
      <c r="Q50" s="324"/>
      <c r="R50" s="324"/>
      <c r="S50" s="324"/>
      <c r="T50" s="324"/>
      <c r="U50" s="324"/>
      <c r="V50" s="324"/>
      <c r="W50" s="324"/>
      <c r="X50" s="324">
        <v>0</v>
      </c>
      <c r="Y50" s="316"/>
      <c r="Z50" s="325"/>
      <c r="AA50" s="316"/>
      <c r="AB50" s="325"/>
      <c r="AC50" s="316"/>
      <c r="AD50" s="316"/>
    </row>
    <row r="51" spans="1:30" ht="20.25" customHeight="1" x14ac:dyDescent="0.25">
      <c r="A51" s="303" t="s">
        <v>182</v>
      </c>
      <c r="B51" s="302"/>
      <c r="C51" s="302"/>
      <c r="D51" s="302"/>
      <c r="E51" s="305"/>
      <c r="F51" s="305"/>
      <c r="G51" s="305"/>
      <c r="H51" s="305"/>
      <c r="I51" s="305"/>
      <c r="J51" s="305"/>
      <c r="K51" s="305"/>
      <c r="L51" s="305"/>
      <c r="M51" s="305"/>
      <c r="N51" s="305"/>
      <c r="O51" s="305"/>
      <c r="P51" s="305"/>
      <c r="Q51" s="305"/>
      <c r="R51" s="305"/>
      <c r="S51" s="305"/>
      <c r="T51" s="305"/>
      <c r="U51" s="305"/>
      <c r="V51" s="305"/>
      <c r="W51" s="305"/>
      <c r="X51" s="305"/>
      <c r="Y51" s="298"/>
      <c r="Z51" s="334"/>
      <c r="AA51" s="298"/>
      <c r="AB51" s="334"/>
      <c r="AC51" s="298"/>
      <c r="AD51" s="298"/>
    </row>
    <row r="52" spans="1:30" ht="20.25" customHeight="1" x14ac:dyDescent="0.25">
      <c r="A52" s="303" t="s">
        <v>244</v>
      </c>
      <c r="B52" s="302">
        <v>2110</v>
      </c>
      <c r="C52" s="302">
        <v>111</v>
      </c>
      <c r="D52" s="302"/>
      <c r="E52" s="305">
        <v>26597500</v>
      </c>
      <c r="F52" s="305">
        <v>26597500</v>
      </c>
      <c r="G52" s="305"/>
      <c r="H52" s="305"/>
      <c r="I52" s="305"/>
      <c r="J52" s="305"/>
      <c r="K52" s="305"/>
      <c r="L52" s="305"/>
      <c r="M52" s="305">
        <v>0</v>
      </c>
      <c r="N52" s="305"/>
      <c r="O52" s="305"/>
      <c r="P52" s="305"/>
      <c r="Q52" s="305"/>
      <c r="R52" s="305"/>
      <c r="S52" s="305"/>
      <c r="T52" s="305"/>
      <c r="U52" s="305"/>
      <c r="V52" s="305"/>
      <c r="W52" s="305"/>
      <c r="X52" s="305"/>
      <c r="Y52" s="298"/>
      <c r="Z52" s="334"/>
      <c r="AA52" s="298"/>
      <c r="AB52" s="334"/>
      <c r="AC52" s="298"/>
      <c r="AD52" s="298"/>
    </row>
    <row r="53" spans="1:30" ht="33.75" customHeight="1" x14ac:dyDescent="0.25">
      <c r="A53" s="303" t="s">
        <v>245</v>
      </c>
      <c r="B53" s="302">
        <v>2120</v>
      </c>
      <c r="C53" s="302">
        <v>112</v>
      </c>
      <c r="D53" s="302"/>
      <c r="E53" s="305">
        <v>1203500</v>
      </c>
      <c r="F53" s="305">
        <v>5600</v>
      </c>
      <c r="G53" s="305"/>
      <c r="H53" s="305">
        <v>976300</v>
      </c>
      <c r="I53" s="305"/>
      <c r="J53" s="305"/>
      <c r="K53" s="305"/>
      <c r="L53" s="305"/>
      <c r="M53" s="305">
        <v>221600</v>
      </c>
      <c r="N53" s="305">
        <v>0</v>
      </c>
      <c r="O53" s="305"/>
      <c r="P53" s="305"/>
      <c r="Q53" s="305"/>
      <c r="R53" s="305"/>
      <c r="S53" s="305"/>
      <c r="T53" s="305"/>
      <c r="U53" s="305"/>
      <c r="V53" s="305"/>
      <c r="W53" s="305"/>
      <c r="X53" s="305"/>
      <c r="Y53" s="298"/>
      <c r="Z53" s="334"/>
      <c r="AA53" s="298"/>
      <c r="AB53" s="334"/>
      <c r="AC53" s="298"/>
      <c r="AD53" s="298"/>
    </row>
    <row r="54" spans="1:30" ht="31.2" x14ac:dyDescent="0.25">
      <c r="A54" s="303" t="s">
        <v>246</v>
      </c>
      <c r="B54" s="302">
        <v>2130</v>
      </c>
      <c r="C54" s="302">
        <v>113</v>
      </c>
      <c r="D54" s="302"/>
      <c r="E54" s="305">
        <v>399200</v>
      </c>
      <c r="F54" s="305">
        <v>188600</v>
      </c>
      <c r="G54" s="305"/>
      <c r="H54" s="305"/>
      <c r="I54" s="305"/>
      <c r="J54" s="305">
        <v>210600</v>
      </c>
      <c r="K54" s="305"/>
      <c r="L54" s="305"/>
      <c r="M54" s="305">
        <v>0</v>
      </c>
      <c r="N54" s="305"/>
      <c r="O54" s="305"/>
      <c r="P54" s="305"/>
      <c r="Q54" s="305"/>
      <c r="R54" s="305"/>
      <c r="S54" s="305"/>
      <c r="T54" s="305"/>
      <c r="U54" s="305"/>
      <c r="V54" s="305"/>
      <c r="W54" s="305"/>
      <c r="X54" s="305"/>
      <c r="Y54" s="298"/>
      <c r="Z54" s="334"/>
      <c r="AA54" s="298"/>
      <c r="AB54" s="334"/>
      <c r="AC54" s="298"/>
      <c r="AD54" s="298"/>
    </row>
    <row r="55" spans="1:30" ht="31.2" x14ac:dyDescent="0.25">
      <c r="A55" s="303" t="s">
        <v>247</v>
      </c>
      <c r="B55" s="302">
        <v>2140</v>
      </c>
      <c r="C55" s="302">
        <v>119</v>
      </c>
      <c r="D55" s="302"/>
      <c r="E55" s="305">
        <v>7970900</v>
      </c>
      <c r="F55" s="348">
        <v>7970900</v>
      </c>
      <c r="G55" s="348"/>
      <c r="H55" s="305"/>
      <c r="I55" s="305"/>
      <c r="J55" s="305"/>
      <c r="K55" s="305"/>
      <c r="L55" s="305"/>
      <c r="M55" s="305">
        <v>0</v>
      </c>
      <c r="N55" s="305"/>
      <c r="O55" s="305">
        <v>0</v>
      </c>
      <c r="P55" s="348">
        <v>0</v>
      </c>
      <c r="Q55" s="305"/>
      <c r="R55" s="305"/>
      <c r="S55" s="305"/>
      <c r="T55" s="305"/>
      <c r="U55" s="305"/>
      <c r="V55" s="305"/>
      <c r="W55" s="305">
        <v>0</v>
      </c>
      <c r="X55" s="305"/>
      <c r="Y55" s="298"/>
      <c r="Z55" s="334"/>
      <c r="AA55" s="298"/>
      <c r="AB55" s="334"/>
      <c r="AC55" s="298"/>
      <c r="AD55" s="298"/>
    </row>
    <row r="56" spans="1:30" x14ac:dyDescent="0.25">
      <c r="A56" s="303" t="s">
        <v>182</v>
      </c>
      <c r="B56" s="302"/>
      <c r="C56" s="302"/>
      <c r="D56" s="302"/>
      <c r="E56" s="305"/>
      <c r="F56" s="305"/>
      <c r="G56" s="305"/>
      <c r="H56" s="305"/>
      <c r="I56" s="305"/>
      <c r="J56" s="305"/>
      <c r="K56" s="305"/>
      <c r="L56" s="305"/>
      <c r="M56" s="305"/>
      <c r="N56" s="305"/>
      <c r="O56" s="305"/>
      <c r="P56" s="305"/>
      <c r="Q56" s="305"/>
      <c r="R56" s="305"/>
      <c r="S56" s="305"/>
      <c r="T56" s="305"/>
      <c r="U56" s="305"/>
      <c r="V56" s="305"/>
      <c r="W56" s="305"/>
      <c r="X56" s="305"/>
      <c r="Y56" s="298"/>
      <c r="Z56" s="334"/>
      <c r="AA56" s="298"/>
      <c r="AB56" s="334"/>
      <c r="AC56" s="298"/>
      <c r="AD56" s="298"/>
    </row>
    <row r="57" spans="1:30" x14ac:dyDescent="0.25">
      <c r="A57" s="303" t="s">
        <v>248</v>
      </c>
      <c r="B57" s="302">
        <v>2141</v>
      </c>
      <c r="C57" s="302">
        <v>119</v>
      </c>
      <c r="D57" s="302"/>
      <c r="E57" s="305">
        <v>7970900</v>
      </c>
      <c r="F57" s="305">
        <v>7970900</v>
      </c>
      <c r="G57" s="305"/>
      <c r="H57" s="305"/>
      <c r="I57" s="305"/>
      <c r="J57" s="305"/>
      <c r="K57" s="305"/>
      <c r="L57" s="305"/>
      <c r="M57" s="305">
        <v>0</v>
      </c>
      <c r="N57" s="305"/>
      <c r="O57" s="305">
        <v>0</v>
      </c>
      <c r="P57" s="305">
        <v>0</v>
      </c>
      <c r="Q57" s="305"/>
      <c r="R57" s="305"/>
      <c r="S57" s="305"/>
      <c r="T57" s="305"/>
      <c r="U57" s="305"/>
      <c r="V57" s="305"/>
      <c r="W57" s="305">
        <v>0</v>
      </c>
      <c r="X57" s="305"/>
      <c r="Y57" s="298"/>
      <c r="Z57" s="334"/>
      <c r="AA57" s="298"/>
      <c r="AB57" s="334"/>
      <c r="AC57" s="298"/>
      <c r="AD57" s="298"/>
    </row>
    <row r="58" spans="1:30" x14ac:dyDescent="0.25">
      <c r="A58" s="303" t="s">
        <v>249</v>
      </c>
      <c r="B58" s="302">
        <v>2142</v>
      </c>
      <c r="C58" s="302">
        <v>119</v>
      </c>
      <c r="D58" s="302"/>
      <c r="E58" s="305"/>
      <c r="F58" s="305"/>
      <c r="G58" s="305"/>
      <c r="H58" s="305"/>
      <c r="I58" s="305"/>
      <c r="J58" s="305"/>
      <c r="K58" s="305"/>
      <c r="L58" s="305"/>
      <c r="M58" s="305"/>
      <c r="N58" s="305"/>
      <c r="O58" s="305"/>
      <c r="P58" s="305"/>
      <c r="Q58" s="305"/>
      <c r="R58" s="305"/>
      <c r="S58" s="305"/>
      <c r="T58" s="305"/>
      <c r="U58" s="305"/>
      <c r="V58" s="305"/>
      <c r="W58" s="305"/>
      <c r="X58" s="305"/>
      <c r="Y58" s="298"/>
      <c r="Z58" s="334"/>
      <c r="AA58" s="298"/>
      <c r="AB58" s="334"/>
      <c r="AC58" s="298"/>
      <c r="AD58" s="298"/>
    </row>
    <row r="59" spans="1:30" s="317" customFormat="1" x14ac:dyDescent="0.25">
      <c r="A59" s="313" t="s">
        <v>250</v>
      </c>
      <c r="B59" s="322">
        <v>2200</v>
      </c>
      <c r="C59" s="322">
        <v>300</v>
      </c>
      <c r="D59" s="322"/>
      <c r="E59" s="324">
        <v>0</v>
      </c>
      <c r="F59" s="324">
        <v>0</v>
      </c>
      <c r="G59" s="324"/>
      <c r="H59" s="324">
        <v>0</v>
      </c>
      <c r="I59" s="324">
        <v>0</v>
      </c>
      <c r="J59" s="324">
        <v>0</v>
      </c>
      <c r="K59" s="324">
        <v>0</v>
      </c>
      <c r="L59" s="324">
        <v>0</v>
      </c>
      <c r="M59" s="324">
        <v>0</v>
      </c>
      <c r="N59" s="324">
        <v>0</v>
      </c>
      <c r="O59" s="324">
        <v>0</v>
      </c>
      <c r="P59" s="324">
        <v>0</v>
      </c>
      <c r="Q59" s="324">
        <v>0</v>
      </c>
      <c r="R59" s="324">
        <v>0</v>
      </c>
      <c r="S59" s="324">
        <v>0</v>
      </c>
      <c r="T59" s="324">
        <v>0</v>
      </c>
      <c r="U59" s="324">
        <v>0</v>
      </c>
      <c r="V59" s="324">
        <v>0</v>
      </c>
      <c r="W59" s="324">
        <v>0</v>
      </c>
      <c r="X59" s="324">
        <v>0</v>
      </c>
      <c r="Y59" s="316"/>
      <c r="Z59" s="325"/>
      <c r="AA59" s="316"/>
      <c r="AB59" s="325"/>
      <c r="AC59" s="316"/>
      <c r="AD59" s="316"/>
    </row>
    <row r="60" spans="1:30" x14ac:dyDescent="0.25">
      <c r="A60" s="303" t="s">
        <v>182</v>
      </c>
      <c r="B60" s="302"/>
      <c r="C60" s="302"/>
      <c r="D60" s="302"/>
      <c r="E60" s="305"/>
      <c r="F60" s="305"/>
      <c r="G60" s="305"/>
      <c r="H60" s="305"/>
      <c r="I60" s="305"/>
      <c r="J60" s="305"/>
      <c r="K60" s="305"/>
      <c r="L60" s="305"/>
      <c r="M60" s="305"/>
      <c r="N60" s="305"/>
      <c r="O60" s="305"/>
      <c r="P60" s="305"/>
      <c r="Q60" s="305"/>
      <c r="R60" s="305"/>
      <c r="S60" s="305"/>
      <c r="T60" s="305"/>
      <c r="U60" s="305"/>
      <c r="V60" s="305"/>
      <c r="W60" s="305"/>
      <c r="X60" s="305"/>
      <c r="Y60" s="298"/>
      <c r="Z60" s="334"/>
      <c r="AA60" s="298"/>
      <c r="AB60" s="334"/>
      <c r="AC60" s="298"/>
      <c r="AD60" s="298"/>
    </row>
    <row r="61" spans="1:30" ht="31.2" x14ac:dyDescent="0.25">
      <c r="A61" s="303" t="s">
        <v>251</v>
      </c>
      <c r="B61" s="302">
        <v>2210</v>
      </c>
      <c r="C61" s="302">
        <v>320</v>
      </c>
      <c r="D61" s="302"/>
      <c r="E61" s="305">
        <v>0</v>
      </c>
      <c r="F61" s="305"/>
      <c r="G61" s="305"/>
      <c r="H61" s="305"/>
      <c r="I61" s="305"/>
      <c r="J61" s="305"/>
      <c r="K61" s="305"/>
      <c r="L61" s="305"/>
      <c r="M61" s="305"/>
      <c r="N61" s="305"/>
      <c r="O61" s="305">
        <v>0</v>
      </c>
      <c r="P61" s="305"/>
      <c r="Q61" s="305"/>
      <c r="R61" s="305"/>
      <c r="S61" s="305"/>
      <c r="T61" s="305"/>
      <c r="U61" s="305"/>
      <c r="V61" s="305"/>
      <c r="W61" s="305"/>
      <c r="X61" s="305"/>
      <c r="Y61" s="298"/>
      <c r="Z61" s="334"/>
      <c r="AA61" s="298"/>
      <c r="AB61" s="334"/>
      <c r="AC61" s="298"/>
      <c r="AD61" s="298"/>
    </row>
    <row r="62" spans="1:30" ht="54.75" customHeight="1" x14ac:dyDescent="0.25">
      <c r="A62" s="303" t="s">
        <v>252</v>
      </c>
      <c r="B62" s="302">
        <v>2211</v>
      </c>
      <c r="C62" s="302">
        <v>321</v>
      </c>
      <c r="D62" s="302"/>
      <c r="E62" s="305">
        <v>0</v>
      </c>
      <c r="F62" s="305"/>
      <c r="G62" s="305"/>
      <c r="H62" s="305">
        <v>0</v>
      </c>
      <c r="I62" s="305"/>
      <c r="J62" s="305"/>
      <c r="K62" s="305"/>
      <c r="L62" s="305"/>
      <c r="M62" s="305"/>
      <c r="N62" s="305"/>
      <c r="O62" s="305">
        <v>0</v>
      </c>
      <c r="P62" s="305"/>
      <c r="Q62" s="305"/>
      <c r="R62" s="305">
        <v>0</v>
      </c>
      <c r="S62" s="305"/>
      <c r="T62" s="305"/>
      <c r="U62" s="305"/>
      <c r="V62" s="305"/>
      <c r="W62" s="305"/>
      <c r="X62" s="305"/>
      <c r="Y62" s="298"/>
      <c r="Z62" s="334"/>
      <c r="AA62" s="298"/>
      <c r="AB62" s="334"/>
      <c r="AC62" s="298"/>
      <c r="AD62" s="298"/>
    </row>
    <row r="63" spans="1:30" ht="31.2" x14ac:dyDescent="0.25">
      <c r="A63" s="303" t="s">
        <v>422</v>
      </c>
      <c r="B63" s="302">
        <v>2220</v>
      </c>
      <c r="C63" s="302">
        <v>340</v>
      </c>
      <c r="D63" s="302"/>
      <c r="E63" s="305"/>
      <c r="F63" s="305"/>
      <c r="G63" s="305"/>
      <c r="H63" s="396"/>
      <c r="I63" s="305"/>
      <c r="J63" s="305"/>
      <c r="K63" s="305"/>
      <c r="L63" s="305"/>
      <c r="M63" s="305"/>
      <c r="N63" s="305"/>
      <c r="O63" s="298"/>
      <c r="P63" s="334"/>
      <c r="Q63" s="298"/>
      <c r="R63" s="334"/>
      <c r="S63" s="298"/>
      <c r="T63" s="298"/>
    </row>
    <row r="64" spans="1:30" ht="46.8" x14ac:dyDescent="0.25">
      <c r="A64" s="303" t="s">
        <v>423</v>
      </c>
      <c r="B64" s="302">
        <v>2230</v>
      </c>
      <c r="C64" s="302">
        <v>350</v>
      </c>
      <c r="D64" s="302"/>
      <c r="E64" s="305"/>
      <c r="F64" s="305"/>
      <c r="G64" s="305"/>
      <c r="H64" s="396"/>
      <c r="I64" s="305"/>
      <c r="J64" s="305"/>
      <c r="K64" s="305"/>
      <c r="L64" s="305"/>
      <c r="M64" s="305"/>
      <c r="N64" s="305"/>
      <c r="O64" s="298"/>
      <c r="P64" s="334"/>
      <c r="Q64" s="298"/>
      <c r="R64" s="334"/>
      <c r="S64" s="298"/>
      <c r="T64" s="298"/>
    </row>
    <row r="65" spans="1:30" x14ac:dyDescent="0.25">
      <c r="A65" s="303" t="s">
        <v>424</v>
      </c>
      <c r="B65" s="302">
        <v>2240</v>
      </c>
      <c r="C65" s="302">
        <v>360</v>
      </c>
      <c r="D65" s="302"/>
      <c r="E65" s="305"/>
      <c r="F65" s="305"/>
      <c r="G65" s="305"/>
      <c r="H65" s="396"/>
      <c r="I65" s="305"/>
      <c r="J65" s="305"/>
      <c r="K65" s="305"/>
      <c r="L65" s="305"/>
      <c r="M65" s="305"/>
      <c r="N65" s="305"/>
      <c r="O65" s="298"/>
      <c r="P65" s="334"/>
      <c r="Q65" s="298"/>
      <c r="R65" s="334"/>
      <c r="S65" s="298"/>
      <c r="T65" s="298"/>
    </row>
    <row r="66" spans="1:30" s="317" customFormat="1" x14ac:dyDescent="0.25">
      <c r="A66" s="313" t="s">
        <v>253</v>
      </c>
      <c r="B66" s="322">
        <v>2300</v>
      </c>
      <c r="C66" s="322">
        <v>850</v>
      </c>
      <c r="D66" s="322"/>
      <c r="E66" s="324">
        <v>0</v>
      </c>
      <c r="F66" s="324">
        <v>0</v>
      </c>
      <c r="G66" s="324"/>
      <c r="H66" s="324">
        <v>0</v>
      </c>
      <c r="I66" s="324">
        <v>0</v>
      </c>
      <c r="J66" s="324">
        <v>0</v>
      </c>
      <c r="K66" s="324">
        <v>0</v>
      </c>
      <c r="L66" s="324">
        <v>0</v>
      </c>
      <c r="M66" s="324">
        <v>0</v>
      </c>
      <c r="N66" s="324">
        <v>0</v>
      </c>
      <c r="O66" s="324">
        <v>0</v>
      </c>
      <c r="P66" s="324">
        <v>0</v>
      </c>
      <c r="Q66" s="324">
        <v>0</v>
      </c>
      <c r="R66" s="324">
        <v>0</v>
      </c>
      <c r="S66" s="324">
        <v>0</v>
      </c>
      <c r="T66" s="324">
        <v>0</v>
      </c>
      <c r="U66" s="324">
        <v>0</v>
      </c>
      <c r="V66" s="324">
        <v>0</v>
      </c>
      <c r="W66" s="324">
        <v>0</v>
      </c>
      <c r="X66" s="324">
        <v>0</v>
      </c>
      <c r="Y66" s="316"/>
      <c r="Z66" s="325"/>
      <c r="AA66" s="316"/>
      <c r="AB66" s="325"/>
      <c r="AC66" s="316"/>
      <c r="AD66" s="316"/>
    </row>
    <row r="67" spans="1:30" ht="31.2" x14ac:dyDescent="0.25">
      <c r="A67" s="303" t="s">
        <v>254</v>
      </c>
      <c r="B67" s="302">
        <v>2310</v>
      </c>
      <c r="C67" s="302">
        <v>851</v>
      </c>
      <c r="D67" s="302"/>
      <c r="E67" s="305">
        <v>0</v>
      </c>
      <c r="F67" s="305"/>
      <c r="G67" s="305"/>
      <c r="H67" s="305"/>
      <c r="I67" s="305"/>
      <c r="J67" s="305"/>
      <c r="K67" s="305"/>
      <c r="L67" s="305"/>
      <c r="M67" s="305"/>
      <c r="N67" s="305"/>
      <c r="O67" s="305">
        <v>0</v>
      </c>
      <c r="P67" s="305"/>
      <c r="Q67" s="305"/>
      <c r="R67" s="305"/>
      <c r="S67" s="305"/>
      <c r="T67" s="305"/>
      <c r="U67" s="305"/>
      <c r="V67" s="305"/>
      <c r="W67" s="305"/>
      <c r="X67" s="305"/>
      <c r="Y67" s="298"/>
      <c r="Z67" s="334"/>
      <c r="AA67" s="298"/>
      <c r="AB67" s="334"/>
      <c r="AC67" s="298"/>
      <c r="AD67" s="298"/>
    </row>
    <row r="68" spans="1:30" ht="31.2" x14ac:dyDescent="0.25">
      <c r="A68" s="303" t="s">
        <v>255</v>
      </c>
      <c r="B68" s="302">
        <v>2320</v>
      </c>
      <c r="C68" s="302">
        <v>852</v>
      </c>
      <c r="D68" s="302"/>
      <c r="E68" s="305">
        <v>0</v>
      </c>
      <c r="F68" s="305"/>
      <c r="G68" s="305"/>
      <c r="H68" s="305"/>
      <c r="I68" s="305"/>
      <c r="J68" s="305"/>
      <c r="K68" s="305"/>
      <c r="L68" s="305"/>
      <c r="M68" s="305"/>
      <c r="N68" s="305"/>
      <c r="O68" s="305">
        <v>0</v>
      </c>
      <c r="P68" s="305"/>
      <c r="Q68" s="305"/>
      <c r="R68" s="305"/>
      <c r="S68" s="305"/>
      <c r="T68" s="305"/>
      <c r="U68" s="305"/>
      <c r="V68" s="305"/>
      <c r="W68" s="305"/>
      <c r="X68" s="305"/>
      <c r="Y68" s="298"/>
      <c r="Z68" s="334"/>
      <c r="AA68" s="298"/>
      <c r="AB68" s="334"/>
      <c r="AC68" s="298"/>
      <c r="AD68" s="298"/>
    </row>
    <row r="69" spans="1:30" x14ac:dyDescent="0.25">
      <c r="A69" s="303" t="s">
        <v>256</v>
      </c>
      <c r="B69" s="302">
        <v>2330</v>
      </c>
      <c r="C69" s="302">
        <v>853</v>
      </c>
      <c r="D69" s="302"/>
      <c r="E69" s="305">
        <v>0</v>
      </c>
      <c r="F69" s="305"/>
      <c r="G69" s="305"/>
      <c r="H69" s="305"/>
      <c r="I69" s="305"/>
      <c r="J69" s="305"/>
      <c r="K69" s="305"/>
      <c r="L69" s="305"/>
      <c r="M69" s="305"/>
      <c r="N69" s="305"/>
      <c r="O69" s="305">
        <v>0</v>
      </c>
      <c r="P69" s="305"/>
      <c r="Q69" s="305"/>
      <c r="R69" s="305"/>
      <c r="S69" s="305"/>
      <c r="T69" s="305"/>
      <c r="U69" s="305"/>
      <c r="V69" s="305"/>
      <c r="W69" s="305"/>
      <c r="X69" s="305"/>
      <c r="Y69" s="298"/>
      <c r="Z69" s="334"/>
      <c r="AA69" s="298"/>
      <c r="AB69" s="334"/>
      <c r="AC69" s="298"/>
      <c r="AD69" s="298"/>
    </row>
    <row r="70" spans="1:30" s="317" customFormat="1" x14ac:dyDescent="0.25">
      <c r="A70" s="313" t="s">
        <v>257</v>
      </c>
      <c r="B70" s="322">
        <v>2400</v>
      </c>
      <c r="C70" s="322" t="s">
        <v>190</v>
      </c>
      <c r="D70" s="322"/>
      <c r="E70" s="324">
        <v>0</v>
      </c>
      <c r="F70" s="324">
        <v>0</v>
      </c>
      <c r="G70" s="324"/>
      <c r="H70" s="324">
        <v>0</v>
      </c>
      <c r="I70" s="324">
        <v>0</v>
      </c>
      <c r="J70" s="324">
        <v>0</v>
      </c>
      <c r="K70" s="324">
        <v>0</v>
      </c>
      <c r="L70" s="324">
        <v>0</v>
      </c>
      <c r="M70" s="324">
        <v>0</v>
      </c>
      <c r="N70" s="324">
        <v>0</v>
      </c>
      <c r="O70" s="324">
        <v>0</v>
      </c>
      <c r="P70" s="324">
        <v>0</v>
      </c>
      <c r="Q70" s="324">
        <v>0</v>
      </c>
      <c r="R70" s="324">
        <v>0</v>
      </c>
      <c r="S70" s="324">
        <v>0</v>
      </c>
      <c r="T70" s="324">
        <v>0</v>
      </c>
      <c r="U70" s="324">
        <v>0</v>
      </c>
      <c r="V70" s="324">
        <v>0</v>
      </c>
      <c r="W70" s="324">
        <v>0</v>
      </c>
      <c r="X70" s="324">
        <v>0</v>
      </c>
      <c r="Y70" s="316"/>
      <c r="Z70" s="325"/>
      <c r="AA70" s="316"/>
      <c r="AB70" s="325"/>
      <c r="AC70" s="316"/>
      <c r="AD70" s="316"/>
    </row>
    <row r="71" spans="1:30" ht="46.8" x14ac:dyDescent="0.25">
      <c r="A71" s="363" t="s">
        <v>386</v>
      </c>
      <c r="B71" s="302">
        <v>2410</v>
      </c>
      <c r="C71" s="302">
        <v>613</v>
      </c>
      <c r="D71" s="302"/>
      <c r="E71" s="305">
        <v>0</v>
      </c>
      <c r="F71" s="305"/>
      <c r="G71" s="305"/>
      <c r="H71" s="305"/>
      <c r="I71" s="305"/>
      <c r="J71" s="305"/>
      <c r="K71" s="305"/>
      <c r="L71" s="305"/>
      <c r="M71" s="305"/>
      <c r="N71" s="305"/>
      <c r="O71" s="305">
        <v>0</v>
      </c>
      <c r="P71" s="305"/>
      <c r="Q71" s="305"/>
      <c r="R71" s="305"/>
      <c r="S71" s="305"/>
      <c r="T71" s="305"/>
      <c r="U71" s="305"/>
      <c r="V71" s="305"/>
      <c r="W71" s="305"/>
      <c r="X71" s="305"/>
      <c r="Y71" s="298"/>
      <c r="Z71" s="334"/>
      <c r="AA71" s="298"/>
      <c r="AB71" s="334"/>
      <c r="AC71" s="298"/>
      <c r="AD71" s="298"/>
    </row>
    <row r="72" spans="1:30" x14ac:dyDescent="0.25">
      <c r="A72" s="303" t="s">
        <v>387</v>
      </c>
      <c r="B72" s="302">
        <v>2420</v>
      </c>
      <c r="C72" s="302">
        <v>623</v>
      </c>
      <c r="D72" s="302"/>
      <c r="E72" s="305">
        <v>0</v>
      </c>
      <c r="F72" s="305"/>
      <c r="G72" s="305"/>
      <c r="H72" s="305"/>
      <c r="I72" s="305"/>
      <c r="J72" s="305"/>
      <c r="K72" s="305"/>
      <c r="L72" s="305"/>
      <c r="M72" s="305"/>
      <c r="N72" s="305"/>
      <c r="O72" s="305">
        <v>0</v>
      </c>
      <c r="P72" s="305"/>
      <c r="Q72" s="305"/>
      <c r="R72" s="305"/>
      <c r="S72" s="305"/>
      <c r="T72" s="305"/>
      <c r="U72" s="305"/>
      <c r="V72" s="305"/>
      <c r="W72" s="305"/>
      <c r="X72" s="305"/>
      <c r="Y72" s="298"/>
      <c r="Z72" s="334"/>
      <c r="AA72" s="298"/>
      <c r="AB72" s="334"/>
      <c r="AC72" s="298"/>
      <c r="AD72" s="298"/>
    </row>
    <row r="73" spans="1:30" ht="31.2" x14ac:dyDescent="0.25">
      <c r="A73" s="303" t="s">
        <v>425</v>
      </c>
      <c r="B73" s="302">
        <v>2430</v>
      </c>
      <c r="C73" s="302">
        <v>634</v>
      </c>
      <c r="D73" s="373">
        <v>634</v>
      </c>
      <c r="E73" s="305"/>
      <c r="F73" s="305"/>
      <c r="G73" s="305"/>
      <c r="H73" s="305"/>
      <c r="I73" s="305"/>
      <c r="J73" s="305"/>
      <c r="K73" s="305"/>
      <c r="L73" s="305"/>
      <c r="M73" s="406"/>
      <c r="N73" s="305"/>
      <c r="O73" s="298"/>
      <c r="P73" s="334"/>
      <c r="Q73" s="298"/>
      <c r="R73" s="334"/>
      <c r="S73" s="298"/>
      <c r="T73" s="298"/>
    </row>
    <row r="74" spans="1:30" x14ac:dyDescent="0.25">
      <c r="A74" s="303" t="s">
        <v>426</v>
      </c>
      <c r="B74" s="302">
        <v>2440</v>
      </c>
      <c r="C74" s="302">
        <v>810</v>
      </c>
      <c r="D74" s="373">
        <v>810</v>
      </c>
      <c r="E74" s="305"/>
      <c r="F74" s="305"/>
      <c r="G74" s="305"/>
      <c r="H74" s="305"/>
      <c r="I74" s="305"/>
      <c r="J74" s="305"/>
      <c r="K74" s="305"/>
      <c r="L74" s="305"/>
      <c r="M74" s="406"/>
      <c r="N74" s="305"/>
      <c r="O74" s="298"/>
      <c r="P74" s="334"/>
      <c r="Q74" s="298"/>
      <c r="R74" s="334"/>
      <c r="S74" s="298"/>
      <c r="T74" s="298"/>
    </row>
    <row r="75" spans="1:30" x14ac:dyDescent="0.25">
      <c r="A75" s="303" t="s">
        <v>258</v>
      </c>
      <c r="B75" s="302">
        <v>2450</v>
      </c>
      <c r="C75" s="302">
        <v>862</v>
      </c>
      <c r="D75" s="373">
        <v>862</v>
      </c>
      <c r="E75" s="305"/>
      <c r="F75" s="305"/>
      <c r="G75" s="305"/>
      <c r="H75" s="305"/>
      <c r="I75" s="305"/>
      <c r="J75" s="305"/>
      <c r="K75" s="305"/>
      <c r="L75" s="305"/>
      <c r="M75" s="406"/>
      <c r="N75" s="305"/>
      <c r="O75" s="298"/>
      <c r="P75" s="334"/>
      <c r="Q75" s="298"/>
      <c r="R75" s="334"/>
      <c r="S75" s="298"/>
      <c r="T75" s="298"/>
    </row>
    <row r="76" spans="1:30" ht="45.75" customHeight="1" x14ac:dyDescent="0.25">
      <c r="A76" s="303" t="s">
        <v>427</v>
      </c>
      <c r="B76" s="302">
        <v>2460</v>
      </c>
      <c r="C76" s="302">
        <v>863</v>
      </c>
      <c r="D76" s="373">
        <v>863</v>
      </c>
      <c r="E76" s="305"/>
      <c r="F76" s="305"/>
      <c r="G76" s="305"/>
      <c r="H76" s="305"/>
      <c r="I76" s="305"/>
      <c r="J76" s="305"/>
      <c r="K76" s="305"/>
      <c r="L76" s="305"/>
      <c r="M76" s="406"/>
      <c r="N76" s="305"/>
      <c r="O76" s="298"/>
      <c r="P76" s="334"/>
      <c r="Q76" s="298"/>
      <c r="R76" s="334"/>
      <c r="S76" s="298"/>
      <c r="T76" s="298"/>
    </row>
    <row r="77" spans="1:30" s="317" customFormat="1" x14ac:dyDescent="0.25">
      <c r="A77" s="313" t="s">
        <v>259</v>
      </c>
      <c r="B77" s="322">
        <v>2500</v>
      </c>
      <c r="C77" s="322" t="s">
        <v>190</v>
      </c>
      <c r="D77" s="322"/>
      <c r="E77" s="324">
        <v>0</v>
      </c>
      <c r="F77" s="324">
        <v>0</v>
      </c>
      <c r="G77" s="324"/>
      <c r="H77" s="324">
        <v>0</v>
      </c>
      <c r="I77" s="324">
        <v>0</v>
      </c>
      <c r="J77" s="324">
        <v>0</v>
      </c>
      <c r="K77" s="324">
        <v>0</v>
      </c>
      <c r="L77" s="324">
        <v>0</v>
      </c>
      <c r="M77" s="324">
        <v>0</v>
      </c>
      <c r="N77" s="324">
        <v>0</v>
      </c>
      <c r="O77" s="324">
        <v>0</v>
      </c>
      <c r="P77" s="324">
        <v>0</v>
      </c>
      <c r="Q77" s="324">
        <v>0</v>
      </c>
      <c r="R77" s="324">
        <v>0</v>
      </c>
      <c r="S77" s="324">
        <v>0</v>
      </c>
      <c r="T77" s="324">
        <v>0</v>
      </c>
      <c r="U77" s="324">
        <v>0</v>
      </c>
      <c r="V77" s="324">
        <v>0</v>
      </c>
      <c r="W77" s="324">
        <v>0</v>
      </c>
      <c r="X77" s="324">
        <v>0</v>
      </c>
      <c r="Y77" s="316"/>
      <c r="Z77" s="325"/>
      <c r="AA77" s="316"/>
      <c r="AB77" s="325"/>
      <c r="AC77" s="316"/>
      <c r="AD77" s="316"/>
    </row>
    <row r="78" spans="1:30" ht="31.2" x14ac:dyDescent="0.25">
      <c r="A78" s="303" t="s">
        <v>260</v>
      </c>
      <c r="B78" s="302">
        <v>252</v>
      </c>
      <c r="C78" s="302">
        <v>831</v>
      </c>
      <c r="D78" s="302"/>
      <c r="E78" s="305">
        <v>0</v>
      </c>
      <c r="F78" s="305"/>
      <c r="G78" s="305"/>
      <c r="H78" s="305"/>
      <c r="I78" s="305"/>
      <c r="J78" s="305"/>
      <c r="K78" s="305"/>
      <c r="L78" s="305"/>
      <c r="M78" s="305"/>
      <c r="N78" s="305"/>
      <c r="O78" s="305">
        <v>0</v>
      </c>
      <c r="P78" s="305"/>
      <c r="Q78" s="305"/>
      <c r="R78" s="305"/>
      <c r="S78" s="305"/>
      <c r="T78" s="305"/>
      <c r="U78" s="305"/>
      <c r="V78" s="305"/>
      <c r="W78" s="305"/>
      <c r="X78" s="305"/>
      <c r="Y78" s="298"/>
      <c r="Z78" s="334"/>
      <c r="AA78" s="298"/>
      <c r="AB78" s="334"/>
      <c r="AC78" s="298"/>
      <c r="AD78" s="298"/>
    </row>
    <row r="79" spans="1:30" s="317" customFormat="1" ht="18" x14ac:dyDescent="0.25">
      <c r="A79" s="313" t="s">
        <v>261</v>
      </c>
      <c r="B79" s="322">
        <v>2600</v>
      </c>
      <c r="C79" s="322" t="s">
        <v>190</v>
      </c>
      <c r="D79" s="322"/>
      <c r="E79" s="324">
        <v>6596700</v>
      </c>
      <c r="F79" s="324">
        <v>4076800</v>
      </c>
      <c r="G79" s="324"/>
      <c r="H79" s="324">
        <v>0</v>
      </c>
      <c r="I79" s="324">
        <v>0</v>
      </c>
      <c r="J79" s="324">
        <v>0</v>
      </c>
      <c r="K79" s="324">
        <v>0</v>
      </c>
      <c r="L79" s="324">
        <v>0</v>
      </c>
      <c r="M79" s="324">
        <v>2519900</v>
      </c>
      <c r="N79" s="324">
        <v>0</v>
      </c>
      <c r="O79" s="324" t="e">
        <v>#REF!</v>
      </c>
      <c r="P79" s="324">
        <v>0</v>
      </c>
      <c r="Q79" s="324" t="e">
        <v>#REF!</v>
      </c>
      <c r="R79" s="324">
        <v>0</v>
      </c>
      <c r="S79" s="324">
        <v>0</v>
      </c>
      <c r="T79" s="324">
        <v>0</v>
      </c>
      <c r="U79" s="324">
        <v>0</v>
      </c>
      <c r="V79" s="324">
        <v>0</v>
      </c>
      <c r="W79" s="324">
        <v>0</v>
      </c>
      <c r="X79" s="324">
        <v>0</v>
      </c>
      <c r="Y79" s="316"/>
      <c r="Z79" s="325"/>
      <c r="AA79" s="316"/>
      <c r="AB79" s="325"/>
      <c r="AC79" s="316"/>
      <c r="AD79" s="316"/>
    </row>
    <row r="80" spans="1:30" ht="31.2" x14ac:dyDescent="0.25">
      <c r="A80" s="303" t="s">
        <v>262</v>
      </c>
      <c r="B80" s="302">
        <v>2610</v>
      </c>
      <c r="C80" s="302">
        <v>241</v>
      </c>
      <c r="D80" s="302"/>
      <c r="E80" s="305">
        <v>0</v>
      </c>
      <c r="F80" s="305"/>
      <c r="G80" s="305"/>
      <c r="H80" s="305"/>
      <c r="I80" s="305"/>
      <c r="J80" s="305"/>
      <c r="K80" s="305"/>
      <c r="L80" s="305"/>
      <c r="M80" s="305"/>
      <c r="N80" s="305"/>
      <c r="O80" s="305">
        <v>0</v>
      </c>
      <c r="P80" s="305"/>
      <c r="Q80" s="305"/>
      <c r="R80" s="305"/>
      <c r="S80" s="305"/>
      <c r="T80" s="305"/>
      <c r="U80" s="305"/>
      <c r="V80" s="305"/>
      <c r="W80" s="305"/>
      <c r="X80" s="305"/>
      <c r="Y80" s="298"/>
      <c r="Z80" s="334"/>
      <c r="AA80" s="298"/>
      <c r="AB80" s="334"/>
      <c r="AC80" s="298"/>
      <c r="AD80" s="298"/>
    </row>
    <row r="81" spans="1:30" ht="31.2" x14ac:dyDescent="0.25">
      <c r="A81" s="303" t="s">
        <v>263</v>
      </c>
      <c r="B81" s="302">
        <v>2620</v>
      </c>
      <c r="C81" s="302">
        <v>242</v>
      </c>
      <c r="D81" s="302"/>
      <c r="E81" s="305">
        <v>0</v>
      </c>
      <c r="F81" s="305"/>
      <c r="G81" s="305"/>
      <c r="H81" s="305"/>
      <c r="I81" s="305"/>
      <c r="J81" s="305"/>
      <c r="K81" s="305"/>
      <c r="L81" s="305"/>
      <c r="M81" s="305"/>
      <c r="N81" s="305"/>
      <c r="O81" s="305">
        <v>0</v>
      </c>
      <c r="P81" s="305"/>
      <c r="Q81" s="305"/>
      <c r="R81" s="305"/>
      <c r="S81" s="305"/>
      <c r="T81" s="305"/>
      <c r="U81" s="305"/>
      <c r="V81" s="305"/>
      <c r="W81" s="305"/>
      <c r="X81" s="305"/>
      <c r="Y81" s="298"/>
      <c r="Z81" s="334"/>
      <c r="AA81" s="298"/>
      <c r="AB81" s="334"/>
      <c r="AC81" s="298"/>
      <c r="AD81" s="298"/>
    </row>
    <row r="82" spans="1:30" ht="31.2" x14ac:dyDescent="0.25">
      <c r="A82" s="303" t="s">
        <v>264</v>
      </c>
      <c r="B82" s="302">
        <v>2630</v>
      </c>
      <c r="C82" s="302">
        <v>243</v>
      </c>
      <c r="D82" s="302"/>
      <c r="E82" s="305">
        <v>0</v>
      </c>
      <c r="F82" s="305"/>
      <c r="G82" s="305"/>
      <c r="H82" s="305"/>
      <c r="I82" s="305"/>
      <c r="J82" s="305"/>
      <c r="K82" s="305"/>
      <c r="L82" s="305"/>
      <c r="M82" s="305"/>
      <c r="N82" s="305"/>
      <c r="O82" s="305">
        <v>0</v>
      </c>
      <c r="P82" s="305"/>
      <c r="Q82" s="305"/>
      <c r="R82" s="305"/>
      <c r="S82" s="305"/>
      <c r="T82" s="305"/>
      <c r="U82" s="305"/>
      <c r="V82" s="305"/>
      <c r="W82" s="305"/>
      <c r="X82" s="305"/>
      <c r="Y82" s="298"/>
      <c r="Z82" s="334"/>
      <c r="AA82" s="298"/>
      <c r="AB82" s="334"/>
      <c r="AC82" s="298"/>
      <c r="AD82" s="298"/>
    </row>
    <row r="83" spans="1:30" ht="21" customHeight="1" x14ac:dyDescent="0.25">
      <c r="A83" s="303" t="s">
        <v>265</v>
      </c>
      <c r="B83" s="302">
        <v>2640</v>
      </c>
      <c r="C83" s="302">
        <v>244</v>
      </c>
      <c r="D83" s="302"/>
      <c r="E83" s="305">
        <v>5654150</v>
      </c>
      <c r="F83" s="305">
        <v>3188900</v>
      </c>
      <c r="G83" s="305"/>
      <c r="H83" s="305"/>
      <c r="I83" s="305"/>
      <c r="J83" s="305">
        <v>0</v>
      </c>
      <c r="K83" s="305"/>
      <c r="L83" s="305">
        <v>0</v>
      </c>
      <c r="M83" s="305">
        <v>2465250</v>
      </c>
      <c r="N83" s="305">
        <v>0</v>
      </c>
      <c r="O83" s="305" t="e">
        <v>#REF!</v>
      </c>
      <c r="P83" s="305">
        <v>0</v>
      </c>
      <c r="Q83" s="305" t="e">
        <v>#REF!</v>
      </c>
      <c r="R83" s="305"/>
      <c r="S83" s="305"/>
      <c r="T83" s="305">
        <v>0</v>
      </c>
      <c r="U83" s="305"/>
      <c r="V83" s="305">
        <v>0</v>
      </c>
      <c r="W83" s="305">
        <v>0</v>
      </c>
      <c r="X83" s="305"/>
      <c r="Y83" s="298"/>
      <c r="Z83" s="334"/>
      <c r="AA83" s="298"/>
      <c r="AB83" s="334"/>
      <c r="AC83" s="298"/>
      <c r="AD83" s="298"/>
    </row>
    <row r="84" spans="1:30" ht="31.2" x14ac:dyDescent="0.25">
      <c r="A84" s="303" t="s">
        <v>428</v>
      </c>
      <c r="B84" s="302">
        <v>2650</v>
      </c>
      <c r="C84" s="302">
        <v>246</v>
      </c>
      <c r="D84" s="407">
        <v>246</v>
      </c>
      <c r="E84" s="305">
        <v>0</v>
      </c>
      <c r="F84" s="305"/>
      <c r="G84" s="305"/>
      <c r="H84" s="305"/>
      <c r="I84" s="305"/>
      <c r="J84" s="305"/>
      <c r="K84" s="305"/>
      <c r="L84" s="305"/>
      <c r="M84" s="406"/>
      <c r="N84" s="305"/>
      <c r="O84" s="298"/>
      <c r="P84" s="334"/>
      <c r="Q84" s="298"/>
      <c r="R84" s="334"/>
      <c r="S84" s="298"/>
      <c r="T84" s="298"/>
    </row>
    <row r="85" spans="1:30" ht="23.25" customHeight="1" x14ac:dyDescent="0.25">
      <c r="A85" s="303" t="s">
        <v>403</v>
      </c>
      <c r="B85" s="302">
        <v>2660</v>
      </c>
      <c r="C85" s="302">
        <v>247</v>
      </c>
      <c r="D85" s="302"/>
      <c r="E85" s="305">
        <v>942550</v>
      </c>
      <c r="F85" s="305">
        <v>887900</v>
      </c>
      <c r="G85" s="305"/>
      <c r="H85" s="305"/>
      <c r="I85" s="305"/>
      <c r="J85" s="305"/>
      <c r="K85" s="305"/>
      <c r="L85" s="305"/>
      <c r="M85" s="305">
        <v>54650</v>
      </c>
      <c r="N85" s="305"/>
      <c r="O85" s="305">
        <v>0</v>
      </c>
      <c r="P85" s="305"/>
      <c r="Q85" s="305"/>
      <c r="R85" s="305"/>
      <c r="S85" s="305"/>
      <c r="T85" s="305"/>
      <c r="U85" s="305"/>
      <c r="V85" s="305"/>
      <c r="W85" s="305"/>
      <c r="X85" s="305"/>
      <c r="Y85" s="298"/>
      <c r="Z85" s="334"/>
      <c r="AA85" s="298"/>
      <c r="AB85" s="334"/>
      <c r="AC85" s="298"/>
      <c r="AD85" s="298"/>
    </row>
    <row r="86" spans="1:30" x14ac:dyDescent="0.25">
      <c r="A86" s="303" t="s">
        <v>266</v>
      </c>
      <c r="B86" s="302">
        <v>2700</v>
      </c>
      <c r="C86" s="302">
        <v>400</v>
      </c>
      <c r="D86" s="302"/>
      <c r="E86" s="305">
        <v>0</v>
      </c>
      <c r="F86" s="305">
        <v>0</v>
      </c>
      <c r="G86" s="305"/>
      <c r="H86" s="305"/>
      <c r="I86" s="305"/>
      <c r="J86" s="305"/>
      <c r="K86" s="305"/>
      <c r="L86" s="305">
        <v>0</v>
      </c>
      <c r="M86" s="305"/>
      <c r="N86" s="305"/>
      <c r="O86" s="305">
        <v>0</v>
      </c>
      <c r="P86" s="305">
        <v>0</v>
      </c>
      <c r="Q86" s="305"/>
      <c r="R86" s="305"/>
      <c r="S86" s="305"/>
      <c r="T86" s="305"/>
      <c r="U86" s="305"/>
      <c r="V86" s="305">
        <v>0</v>
      </c>
      <c r="W86" s="305">
        <v>0</v>
      </c>
      <c r="X86" s="305"/>
      <c r="Y86" s="298"/>
      <c r="Z86" s="334"/>
      <c r="AA86" s="298"/>
      <c r="AB86" s="334"/>
      <c r="AC86" s="298"/>
      <c r="AD86" s="298"/>
    </row>
    <row r="87" spans="1:30" ht="55.5" customHeight="1" x14ac:dyDescent="0.25">
      <c r="A87" s="345" t="s">
        <v>267</v>
      </c>
      <c r="B87" s="302">
        <v>2710</v>
      </c>
      <c r="C87" s="302">
        <v>406</v>
      </c>
      <c r="D87" s="302"/>
      <c r="E87" s="305">
        <v>0</v>
      </c>
      <c r="F87" s="305"/>
      <c r="G87" s="305"/>
      <c r="H87" s="305"/>
      <c r="I87" s="305"/>
      <c r="J87" s="305"/>
      <c r="K87" s="305"/>
      <c r="L87" s="305"/>
      <c r="M87" s="305"/>
      <c r="N87" s="305"/>
      <c r="O87" s="305">
        <v>0</v>
      </c>
      <c r="P87" s="305"/>
      <c r="Q87" s="305"/>
      <c r="R87" s="305"/>
      <c r="S87" s="305"/>
      <c r="T87" s="305"/>
      <c r="U87" s="305"/>
      <c r="V87" s="305"/>
      <c r="W87" s="305"/>
      <c r="X87" s="305"/>
      <c r="Y87" s="298"/>
      <c r="Z87" s="334"/>
      <c r="AA87" s="298"/>
      <c r="AB87" s="334"/>
      <c r="AC87" s="298"/>
      <c r="AD87" s="298"/>
    </row>
    <row r="88" spans="1:30" ht="31.2" x14ac:dyDescent="0.25">
      <c r="A88" s="303" t="s">
        <v>268</v>
      </c>
      <c r="B88" s="302">
        <v>2720</v>
      </c>
      <c r="C88" s="302">
        <v>407</v>
      </c>
      <c r="D88" s="302"/>
      <c r="E88" s="305">
        <v>0</v>
      </c>
      <c r="F88" s="305"/>
      <c r="G88" s="305"/>
      <c r="H88" s="305"/>
      <c r="I88" s="305"/>
      <c r="J88" s="305"/>
      <c r="K88" s="305"/>
      <c r="L88" s="305"/>
      <c r="M88" s="305"/>
      <c r="N88" s="305"/>
      <c r="O88" s="305">
        <v>0</v>
      </c>
      <c r="P88" s="305"/>
      <c r="Q88" s="305"/>
      <c r="R88" s="305"/>
      <c r="S88" s="305"/>
      <c r="T88" s="305"/>
      <c r="U88" s="305"/>
      <c r="V88" s="305"/>
      <c r="W88" s="305"/>
      <c r="X88" s="305"/>
      <c r="Y88" s="298"/>
      <c r="Z88" s="334"/>
      <c r="AA88" s="298"/>
      <c r="AB88" s="334"/>
      <c r="AC88" s="298"/>
      <c r="AD88" s="298"/>
    </row>
    <row r="89" spans="1:30" s="317" customFormat="1" ht="30.75" customHeight="1" x14ac:dyDescent="0.25">
      <c r="A89" s="313" t="s">
        <v>269</v>
      </c>
      <c r="B89" s="322">
        <v>3000</v>
      </c>
      <c r="C89" s="322">
        <v>100</v>
      </c>
      <c r="D89" s="322"/>
      <c r="E89" s="324">
        <v>0</v>
      </c>
      <c r="F89" s="324">
        <v>0</v>
      </c>
      <c r="G89" s="324"/>
      <c r="H89" s="324">
        <v>0</v>
      </c>
      <c r="I89" s="324">
        <v>0</v>
      </c>
      <c r="J89" s="324">
        <v>0</v>
      </c>
      <c r="K89" s="324">
        <v>0</v>
      </c>
      <c r="L89" s="324">
        <v>0</v>
      </c>
      <c r="M89" s="324">
        <v>0</v>
      </c>
      <c r="N89" s="324">
        <v>0</v>
      </c>
      <c r="O89" s="324">
        <v>0</v>
      </c>
      <c r="P89" s="324">
        <v>0</v>
      </c>
      <c r="Q89" s="324">
        <v>0</v>
      </c>
      <c r="R89" s="324">
        <v>0</v>
      </c>
      <c r="S89" s="324">
        <v>0</v>
      </c>
      <c r="T89" s="324">
        <v>0</v>
      </c>
      <c r="U89" s="324">
        <v>0</v>
      </c>
      <c r="V89" s="324">
        <v>0</v>
      </c>
      <c r="W89" s="324">
        <v>0</v>
      </c>
      <c r="X89" s="324">
        <v>0</v>
      </c>
      <c r="Y89" s="316"/>
      <c r="Z89" s="325"/>
      <c r="AA89" s="316"/>
      <c r="AB89" s="325"/>
      <c r="AC89" s="316"/>
      <c r="AD89" s="316"/>
    </row>
    <row r="90" spans="1:30" ht="34.200000000000003" x14ac:dyDescent="0.25">
      <c r="A90" s="303" t="s">
        <v>270</v>
      </c>
      <c r="B90" s="302">
        <v>3010</v>
      </c>
      <c r="C90" s="302"/>
      <c r="D90" s="302"/>
      <c r="E90" s="305">
        <v>0</v>
      </c>
      <c r="F90" s="305"/>
      <c r="G90" s="305"/>
      <c r="H90" s="305"/>
      <c r="I90" s="305"/>
      <c r="J90" s="305"/>
      <c r="K90" s="305"/>
      <c r="L90" s="305"/>
      <c r="M90" s="305"/>
      <c r="N90" s="305"/>
      <c r="O90" s="305">
        <v>0</v>
      </c>
      <c r="P90" s="305"/>
      <c r="Q90" s="305"/>
      <c r="R90" s="305"/>
      <c r="S90" s="305"/>
      <c r="T90" s="305"/>
      <c r="U90" s="305"/>
      <c r="V90" s="305"/>
      <c r="W90" s="305"/>
      <c r="X90" s="305"/>
      <c r="Y90" s="298"/>
      <c r="Z90" s="334"/>
      <c r="AA90" s="298"/>
      <c r="AB90" s="334"/>
      <c r="AC90" s="298"/>
      <c r="AD90" s="298"/>
    </row>
    <row r="91" spans="1:30" ht="18.600000000000001" x14ac:dyDescent="0.25">
      <c r="A91" s="303" t="s">
        <v>271</v>
      </c>
      <c r="B91" s="302">
        <v>3020</v>
      </c>
      <c r="C91" s="302"/>
      <c r="D91" s="302"/>
      <c r="E91" s="305">
        <v>0</v>
      </c>
      <c r="F91" s="305"/>
      <c r="G91" s="305"/>
      <c r="H91" s="305"/>
      <c r="I91" s="305"/>
      <c r="J91" s="305"/>
      <c r="K91" s="305"/>
      <c r="L91" s="305"/>
      <c r="M91" s="305"/>
      <c r="N91" s="305"/>
      <c r="O91" s="305">
        <v>0</v>
      </c>
      <c r="P91" s="305"/>
      <c r="Q91" s="305"/>
      <c r="R91" s="305"/>
      <c r="S91" s="305"/>
      <c r="T91" s="305"/>
      <c r="U91" s="305"/>
      <c r="V91" s="305"/>
      <c r="W91" s="305"/>
      <c r="X91" s="305"/>
      <c r="Y91" s="298"/>
      <c r="Z91" s="334"/>
      <c r="AA91" s="298"/>
      <c r="AB91" s="334"/>
      <c r="AC91" s="298"/>
      <c r="AD91" s="298"/>
    </row>
    <row r="92" spans="1:30" ht="15.75" customHeight="1" x14ac:dyDescent="0.25">
      <c r="A92" s="303" t="s">
        <v>272</v>
      </c>
      <c r="B92" s="302">
        <v>3030</v>
      </c>
      <c r="C92" s="302"/>
      <c r="D92" s="302"/>
      <c r="E92" s="305">
        <v>0</v>
      </c>
      <c r="F92" s="305"/>
      <c r="G92" s="305"/>
      <c r="H92" s="305"/>
      <c r="I92" s="305"/>
      <c r="J92" s="305"/>
      <c r="K92" s="305"/>
      <c r="L92" s="305"/>
      <c r="M92" s="305"/>
      <c r="N92" s="305"/>
      <c r="O92" s="305">
        <v>0</v>
      </c>
      <c r="P92" s="305"/>
      <c r="Q92" s="305"/>
      <c r="R92" s="305"/>
      <c r="S92" s="305"/>
      <c r="T92" s="305"/>
      <c r="U92" s="305"/>
      <c r="V92" s="305"/>
      <c r="W92" s="305"/>
      <c r="X92" s="305"/>
      <c r="Y92" s="298"/>
      <c r="Z92" s="334"/>
      <c r="AA92" s="298"/>
      <c r="AB92" s="334"/>
      <c r="AC92" s="298"/>
      <c r="AD92" s="298"/>
    </row>
    <row r="93" spans="1:30" s="317" customFormat="1" ht="15.75" customHeight="1" x14ac:dyDescent="0.25">
      <c r="A93" s="313" t="s">
        <v>273</v>
      </c>
      <c r="B93" s="322">
        <v>4000</v>
      </c>
      <c r="C93" s="322" t="s">
        <v>190</v>
      </c>
      <c r="D93" s="322"/>
      <c r="E93" s="324">
        <v>0</v>
      </c>
      <c r="F93" s="324">
        <v>0</v>
      </c>
      <c r="G93" s="324"/>
      <c r="H93" s="324">
        <v>0</v>
      </c>
      <c r="I93" s="324">
        <v>0</v>
      </c>
      <c r="J93" s="324">
        <v>0</v>
      </c>
      <c r="K93" s="324">
        <v>0</v>
      </c>
      <c r="L93" s="324">
        <v>0</v>
      </c>
      <c r="M93" s="324">
        <v>0</v>
      </c>
      <c r="N93" s="324">
        <v>0</v>
      </c>
      <c r="O93" s="324">
        <v>0</v>
      </c>
      <c r="P93" s="324">
        <v>0</v>
      </c>
      <c r="Q93" s="324">
        <v>0</v>
      </c>
      <c r="R93" s="324">
        <v>0</v>
      </c>
      <c r="S93" s="324">
        <v>0</v>
      </c>
      <c r="T93" s="324">
        <v>0</v>
      </c>
      <c r="U93" s="324">
        <v>0</v>
      </c>
      <c r="V93" s="324">
        <v>0</v>
      </c>
      <c r="W93" s="324">
        <v>0</v>
      </c>
      <c r="X93" s="324">
        <v>0</v>
      </c>
      <c r="Y93" s="316"/>
      <c r="Z93" s="325"/>
      <c r="AA93" s="316"/>
      <c r="AB93" s="325"/>
      <c r="AC93" s="316"/>
      <c r="AD93" s="316"/>
    </row>
    <row r="94" spans="1:30" ht="32.25" customHeight="1" x14ac:dyDescent="0.25">
      <c r="A94" s="303" t="s">
        <v>274</v>
      </c>
      <c r="B94" s="302">
        <v>4010</v>
      </c>
      <c r="C94" s="302">
        <v>610</v>
      </c>
      <c r="D94" s="302"/>
      <c r="E94" s="305">
        <v>0</v>
      </c>
      <c r="F94" s="305"/>
      <c r="G94" s="305"/>
      <c r="H94" s="305"/>
      <c r="I94" s="305"/>
      <c r="J94" s="305"/>
      <c r="K94" s="305"/>
      <c r="L94" s="305"/>
      <c r="M94" s="305"/>
      <c r="N94" s="305"/>
      <c r="O94" s="305">
        <v>0</v>
      </c>
      <c r="P94" s="305"/>
      <c r="Q94" s="305"/>
      <c r="R94" s="305"/>
      <c r="S94" s="305"/>
      <c r="T94" s="305"/>
      <c r="U94" s="305"/>
      <c r="V94" s="305"/>
      <c r="W94" s="305"/>
      <c r="X94" s="305"/>
      <c r="Y94" s="298"/>
      <c r="Z94" s="334"/>
      <c r="AA94" s="298"/>
      <c r="AB94" s="334"/>
      <c r="AC94" s="298"/>
      <c r="AD94" s="298"/>
    </row>
    <row r="95" spans="1:30" ht="15.75" customHeight="1" x14ac:dyDescent="0.25">
      <c r="A95" s="303"/>
      <c r="B95" s="302"/>
      <c r="C95" s="302"/>
      <c r="D95" s="302"/>
      <c r="E95" s="305"/>
      <c r="F95" s="305"/>
      <c r="G95" s="305"/>
      <c r="H95" s="305"/>
      <c r="I95" s="305"/>
      <c r="J95" s="305"/>
      <c r="K95" s="305"/>
      <c r="L95" s="305"/>
      <c r="M95" s="305"/>
      <c r="N95" s="305"/>
      <c r="O95" s="305"/>
      <c r="P95" s="305"/>
      <c r="Q95" s="305"/>
      <c r="R95" s="305"/>
      <c r="S95" s="305"/>
      <c r="T95" s="305"/>
      <c r="U95" s="305"/>
      <c r="V95" s="305"/>
      <c r="W95" s="305"/>
      <c r="X95" s="305"/>
      <c r="Y95" s="298"/>
      <c r="Z95" s="334"/>
      <c r="AA95" s="298"/>
      <c r="AB95" s="334"/>
      <c r="AC95" s="298"/>
      <c r="AD95" s="298"/>
    </row>
    <row r="96" spans="1:30" x14ac:dyDescent="0.25">
      <c r="E96" s="357"/>
      <c r="O96" s="357"/>
    </row>
    <row r="97" spans="1:5" x14ac:dyDescent="0.25">
      <c r="A97" s="296" t="s">
        <v>429</v>
      </c>
      <c r="B97" s="509" t="s">
        <v>430</v>
      </c>
      <c r="C97" s="509"/>
      <c r="D97" s="509"/>
      <c r="E97" s="509"/>
    </row>
    <row r="98" spans="1:5" x14ac:dyDescent="0.25">
      <c r="A98" s="509"/>
      <c r="B98" s="509"/>
      <c r="C98" s="509"/>
      <c r="D98" s="376"/>
    </row>
    <row r="99" spans="1:5" x14ac:dyDescent="0.25">
      <c r="A99" s="509"/>
      <c r="B99" s="509"/>
      <c r="C99" s="509"/>
      <c r="D99" s="376"/>
    </row>
    <row r="100" spans="1:5" x14ac:dyDescent="0.25">
      <c r="A100" s="509"/>
      <c r="B100" s="509"/>
      <c r="C100" s="509"/>
      <c r="D100" s="376"/>
    </row>
    <row r="101" spans="1:5" x14ac:dyDescent="0.25">
      <c r="A101" s="509"/>
      <c r="B101" s="509"/>
      <c r="C101" s="509"/>
      <c r="D101" s="376"/>
    </row>
    <row r="102" spans="1:5" x14ac:dyDescent="0.25">
      <c r="A102" s="509"/>
      <c r="B102" s="509"/>
      <c r="C102" s="509"/>
      <c r="D102" s="376"/>
    </row>
    <row r="103" spans="1:5" x14ac:dyDescent="0.25">
      <c r="A103" s="526"/>
      <c r="B103" s="526"/>
      <c r="C103" s="526"/>
      <c r="D103" s="378"/>
    </row>
    <row r="104" spans="1:5" x14ac:dyDescent="0.25">
      <c r="A104" s="509"/>
      <c r="B104" s="509"/>
      <c r="C104" s="509"/>
      <c r="D104" s="376"/>
    </row>
    <row r="105" spans="1:5" x14ac:dyDescent="0.25">
      <c r="A105" s="526"/>
      <c r="B105" s="526"/>
      <c r="C105" s="526"/>
      <c r="D105" s="378"/>
    </row>
    <row r="106" spans="1:5" x14ac:dyDescent="0.25">
      <c r="A106" s="526"/>
      <c r="B106" s="526"/>
      <c r="C106" s="526"/>
      <c r="D106" s="378"/>
    </row>
    <row r="107" spans="1:5" x14ac:dyDescent="0.25">
      <c r="A107" s="509"/>
      <c r="B107" s="509"/>
      <c r="C107" s="509"/>
      <c r="D107" s="376"/>
    </row>
    <row r="108" spans="1:5" x14ac:dyDescent="0.25">
      <c r="A108" s="509"/>
      <c r="B108" s="509"/>
      <c r="C108" s="509"/>
      <c r="D108" s="376"/>
    </row>
    <row r="109" spans="1:5" x14ac:dyDescent="0.25">
      <c r="A109" s="526"/>
      <c r="B109" s="526"/>
      <c r="C109" s="526"/>
      <c r="D109" s="378"/>
    </row>
  </sheetData>
  <mergeCells count="25">
    <mergeCell ref="A105:C105"/>
    <mergeCell ref="A106:C106"/>
    <mergeCell ref="A107:C107"/>
    <mergeCell ref="A108:C108"/>
    <mergeCell ref="A109:C109"/>
    <mergeCell ref="A104:C104"/>
    <mergeCell ref="A98:C98"/>
    <mergeCell ref="A10:N10"/>
    <mergeCell ref="A99:C99"/>
    <mergeCell ref="A100:C100"/>
    <mergeCell ref="A101:C101"/>
    <mergeCell ref="A102:C102"/>
    <mergeCell ref="A11:A14"/>
    <mergeCell ref="B11:B14"/>
    <mergeCell ref="C11:C14"/>
    <mergeCell ref="E11:N11"/>
    <mergeCell ref="B97:E97"/>
    <mergeCell ref="A103:C103"/>
    <mergeCell ref="D11:D14"/>
    <mergeCell ref="Y27:AG27"/>
    <mergeCell ref="O11:X11"/>
    <mergeCell ref="E12:N12"/>
    <mergeCell ref="O12:X12"/>
    <mergeCell ref="E13:N13"/>
    <mergeCell ref="O13:X13"/>
  </mergeCells>
  <printOptions horizontalCentered="1"/>
  <pageMargins left="0.19685039370078741" right="0.15748031496062992" top="0.23622047244094491" bottom="0.31496062992125984" header="0.27559055118110237" footer="0"/>
  <pageSetup paperSize="9" scale="45" fitToHeight="0" orientation="landscape" r:id="rId1"/>
  <headerFooter alignWithMargins="0"/>
  <rowBreaks count="1" manualBreakCount="1">
    <brk id="47" max="1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GB69"/>
  <sheetViews>
    <sheetView tabSelected="1" view="pageBreakPreview" zoomScaleSheetLayoutView="100" workbookViewId="0">
      <selection activeCell="EG46" sqref="EG46"/>
    </sheetView>
  </sheetViews>
  <sheetFormatPr defaultColWidth="1" defaultRowHeight="12" customHeight="1" x14ac:dyDescent="0.2"/>
  <cols>
    <col min="1" max="14" width="1" style="429"/>
    <col min="15" max="15" width="11.109375" style="429" bestFit="1" customWidth="1"/>
    <col min="16" max="60" width="1" style="429"/>
    <col min="61" max="61" width="1" style="429" customWidth="1"/>
    <col min="62" max="64" width="1" style="429"/>
    <col min="65" max="65" width="1" style="429" customWidth="1"/>
    <col min="66" max="75" width="1" style="429"/>
    <col min="76" max="77" width="1" style="429" customWidth="1"/>
    <col min="78" max="329" width="1" style="429"/>
    <col min="330" max="330" width="1" style="429" customWidth="1"/>
    <col min="331" max="333" width="1" style="429"/>
    <col min="334" max="334" width="1" style="429" customWidth="1"/>
    <col min="335" max="344" width="1" style="429"/>
    <col min="345" max="346" width="1" style="429" customWidth="1"/>
    <col min="347" max="585" width="1" style="429"/>
    <col min="586" max="586" width="1" style="429" customWidth="1"/>
    <col min="587" max="589" width="1" style="429"/>
    <col min="590" max="590" width="1" style="429" customWidth="1"/>
    <col min="591" max="600" width="1" style="429"/>
    <col min="601" max="602" width="1" style="429" customWidth="1"/>
    <col min="603" max="841" width="1" style="429"/>
    <col min="842" max="842" width="1" style="429" customWidth="1"/>
    <col min="843" max="845" width="1" style="429"/>
    <col min="846" max="846" width="1" style="429" customWidth="1"/>
    <col min="847" max="856" width="1" style="429"/>
    <col min="857" max="858" width="1" style="429" customWidth="1"/>
    <col min="859" max="1097" width="1" style="429"/>
    <col min="1098" max="1098" width="1" style="429" customWidth="1"/>
    <col min="1099" max="1101" width="1" style="429"/>
    <col min="1102" max="1102" width="1" style="429" customWidth="1"/>
    <col min="1103" max="1112" width="1" style="429"/>
    <col min="1113" max="1114" width="1" style="429" customWidth="1"/>
    <col min="1115" max="1353" width="1" style="429"/>
    <col min="1354" max="1354" width="1" style="429" customWidth="1"/>
    <col min="1355" max="1357" width="1" style="429"/>
    <col min="1358" max="1358" width="1" style="429" customWidth="1"/>
    <col min="1359" max="1368" width="1" style="429"/>
    <col min="1369" max="1370" width="1" style="429" customWidth="1"/>
    <col min="1371" max="1609" width="1" style="429"/>
    <col min="1610" max="1610" width="1" style="429" customWidth="1"/>
    <col min="1611" max="1613" width="1" style="429"/>
    <col min="1614" max="1614" width="1" style="429" customWidth="1"/>
    <col min="1615" max="1624" width="1" style="429"/>
    <col min="1625" max="1626" width="1" style="429" customWidth="1"/>
    <col min="1627" max="1865" width="1" style="429"/>
    <col min="1866" max="1866" width="1" style="429" customWidth="1"/>
    <col min="1867" max="1869" width="1" style="429"/>
    <col min="1870" max="1870" width="1" style="429" customWidth="1"/>
    <col min="1871" max="1880" width="1" style="429"/>
    <col min="1881" max="1882" width="1" style="429" customWidth="1"/>
    <col min="1883" max="2121" width="1" style="429"/>
    <col min="2122" max="2122" width="1" style="429" customWidth="1"/>
    <col min="2123" max="2125" width="1" style="429"/>
    <col min="2126" max="2126" width="1" style="429" customWidth="1"/>
    <col min="2127" max="2136" width="1" style="429"/>
    <col min="2137" max="2138" width="1" style="429" customWidth="1"/>
    <col min="2139" max="2377" width="1" style="429"/>
    <col min="2378" max="2378" width="1" style="429" customWidth="1"/>
    <col min="2379" max="2381" width="1" style="429"/>
    <col min="2382" max="2382" width="1" style="429" customWidth="1"/>
    <col min="2383" max="2392" width="1" style="429"/>
    <col min="2393" max="2394" width="1" style="429" customWidth="1"/>
    <col min="2395" max="2633" width="1" style="429"/>
    <col min="2634" max="2634" width="1" style="429" customWidth="1"/>
    <col min="2635" max="2637" width="1" style="429"/>
    <col min="2638" max="2638" width="1" style="429" customWidth="1"/>
    <col min="2639" max="2648" width="1" style="429"/>
    <col min="2649" max="2650" width="1" style="429" customWidth="1"/>
    <col min="2651" max="2889" width="1" style="429"/>
    <col min="2890" max="2890" width="1" style="429" customWidth="1"/>
    <col min="2891" max="2893" width="1" style="429"/>
    <col min="2894" max="2894" width="1" style="429" customWidth="1"/>
    <col min="2895" max="2904" width="1" style="429"/>
    <col min="2905" max="2906" width="1" style="429" customWidth="1"/>
    <col min="2907" max="3145" width="1" style="429"/>
    <col min="3146" max="3146" width="1" style="429" customWidth="1"/>
    <col min="3147" max="3149" width="1" style="429"/>
    <col min="3150" max="3150" width="1" style="429" customWidth="1"/>
    <col min="3151" max="3160" width="1" style="429"/>
    <col min="3161" max="3162" width="1" style="429" customWidth="1"/>
    <col min="3163" max="3401" width="1" style="429"/>
    <col min="3402" max="3402" width="1" style="429" customWidth="1"/>
    <col min="3403" max="3405" width="1" style="429"/>
    <col min="3406" max="3406" width="1" style="429" customWidth="1"/>
    <col min="3407" max="3416" width="1" style="429"/>
    <col min="3417" max="3418" width="1" style="429" customWidth="1"/>
    <col min="3419" max="3657" width="1" style="429"/>
    <col min="3658" max="3658" width="1" style="429" customWidth="1"/>
    <col min="3659" max="3661" width="1" style="429"/>
    <col min="3662" max="3662" width="1" style="429" customWidth="1"/>
    <col min="3663" max="3672" width="1" style="429"/>
    <col min="3673" max="3674" width="1" style="429" customWidth="1"/>
    <col min="3675" max="3913" width="1" style="429"/>
    <col min="3914" max="3914" width="1" style="429" customWidth="1"/>
    <col min="3915" max="3917" width="1" style="429"/>
    <col min="3918" max="3918" width="1" style="429" customWidth="1"/>
    <col min="3919" max="3928" width="1" style="429"/>
    <col min="3929" max="3930" width="1" style="429" customWidth="1"/>
    <col min="3931" max="4169" width="1" style="429"/>
    <col min="4170" max="4170" width="1" style="429" customWidth="1"/>
    <col min="4171" max="4173" width="1" style="429"/>
    <col min="4174" max="4174" width="1" style="429" customWidth="1"/>
    <col min="4175" max="4184" width="1" style="429"/>
    <col min="4185" max="4186" width="1" style="429" customWidth="1"/>
    <col min="4187" max="4425" width="1" style="429"/>
    <col min="4426" max="4426" width="1" style="429" customWidth="1"/>
    <col min="4427" max="4429" width="1" style="429"/>
    <col min="4430" max="4430" width="1" style="429" customWidth="1"/>
    <col min="4431" max="4440" width="1" style="429"/>
    <col min="4441" max="4442" width="1" style="429" customWidth="1"/>
    <col min="4443" max="4681" width="1" style="429"/>
    <col min="4682" max="4682" width="1" style="429" customWidth="1"/>
    <col min="4683" max="4685" width="1" style="429"/>
    <col min="4686" max="4686" width="1" style="429" customWidth="1"/>
    <col min="4687" max="4696" width="1" style="429"/>
    <col min="4697" max="4698" width="1" style="429" customWidth="1"/>
    <col min="4699" max="4937" width="1" style="429"/>
    <col min="4938" max="4938" width="1" style="429" customWidth="1"/>
    <col min="4939" max="4941" width="1" style="429"/>
    <col min="4942" max="4942" width="1" style="429" customWidth="1"/>
    <col min="4943" max="4952" width="1" style="429"/>
    <col min="4953" max="4954" width="1" style="429" customWidth="1"/>
    <col min="4955" max="5193" width="1" style="429"/>
    <col min="5194" max="5194" width="1" style="429" customWidth="1"/>
    <col min="5195" max="5197" width="1" style="429"/>
    <col min="5198" max="5198" width="1" style="429" customWidth="1"/>
    <col min="5199" max="5208" width="1" style="429"/>
    <col min="5209" max="5210" width="1" style="429" customWidth="1"/>
    <col min="5211" max="5449" width="1" style="429"/>
    <col min="5450" max="5450" width="1" style="429" customWidth="1"/>
    <col min="5451" max="5453" width="1" style="429"/>
    <col min="5454" max="5454" width="1" style="429" customWidth="1"/>
    <col min="5455" max="5464" width="1" style="429"/>
    <col min="5465" max="5466" width="1" style="429" customWidth="1"/>
    <col min="5467" max="5705" width="1" style="429"/>
    <col min="5706" max="5706" width="1" style="429" customWidth="1"/>
    <col min="5707" max="5709" width="1" style="429"/>
    <col min="5710" max="5710" width="1" style="429" customWidth="1"/>
    <col min="5711" max="5720" width="1" style="429"/>
    <col min="5721" max="5722" width="1" style="429" customWidth="1"/>
    <col min="5723" max="5961" width="1" style="429"/>
    <col min="5962" max="5962" width="1" style="429" customWidth="1"/>
    <col min="5963" max="5965" width="1" style="429"/>
    <col min="5966" max="5966" width="1" style="429" customWidth="1"/>
    <col min="5967" max="5976" width="1" style="429"/>
    <col min="5977" max="5978" width="1" style="429" customWidth="1"/>
    <col min="5979" max="6217" width="1" style="429"/>
    <col min="6218" max="6218" width="1" style="429" customWidth="1"/>
    <col min="6219" max="6221" width="1" style="429"/>
    <col min="6222" max="6222" width="1" style="429" customWidth="1"/>
    <col min="6223" max="6232" width="1" style="429"/>
    <col min="6233" max="6234" width="1" style="429" customWidth="1"/>
    <col min="6235" max="6473" width="1" style="429"/>
    <col min="6474" max="6474" width="1" style="429" customWidth="1"/>
    <col min="6475" max="6477" width="1" style="429"/>
    <col min="6478" max="6478" width="1" style="429" customWidth="1"/>
    <col min="6479" max="6488" width="1" style="429"/>
    <col min="6489" max="6490" width="1" style="429" customWidth="1"/>
    <col min="6491" max="6729" width="1" style="429"/>
    <col min="6730" max="6730" width="1" style="429" customWidth="1"/>
    <col min="6731" max="6733" width="1" style="429"/>
    <col min="6734" max="6734" width="1" style="429" customWidth="1"/>
    <col min="6735" max="6744" width="1" style="429"/>
    <col min="6745" max="6746" width="1" style="429" customWidth="1"/>
    <col min="6747" max="6985" width="1" style="429"/>
    <col min="6986" max="6986" width="1" style="429" customWidth="1"/>
    <col min="6987" max="6989" width="1" style="429"/>
    <col min="6990" max="6990" width="1" style="429" customWidth="1"/>
    <col min="6991" max="7000" width="1" style="429"/>
    <col min="7001" max="7002" width="1" style="429" customWidth="1"/>
    <col min="7003" max="7241" width="1" style="429"/>
    <col min="7242" max="7242" width="1" style="429" customWidth="1"/>
    <col min="7243" max="7245" width="1" style="429"/>
    <col min="7246" max="7246" width="1" style="429" customWidth="1"/>
    <col min="7247" max="7256" width="1" style="429"/>
    <col min="7257" max="7258" width="1" style="429" customWidth="1"/>
    <col min="7259" max="7497" width="1" style="429"/>
    <col min="7498" max="7498" width="1" style="429" customWidth="1"/>
    <col min="7499" max="7501" width="1" style="429"/>
    <col min="7502" max="7502" width="1" style="429" customWidth="1"/>
    <col min="7503" max="7512" width="1" style="429"/>
    <col min="7513" max="7514" width="1" style="429" customWidth="1"/>
    <col min="7515" max="7753" width="1" style="429"/>
    <col min="7754" max="7754" width="1" style="429" customWidth="1"/>
    <col min="7755" max="7757" width="1" style="429"/>
    <col min="7758" max="7758" width="1" style="429" customWidth="1"/>
    <col min="7759" max="7768" width="1" style="429"/>
    <col min="7769" max="7770" width="1" style="429" customWidth="1"/>
    <col min="7771" max="8009" width="1" style="429"/>
    <col min="8010" max="8010" width="1" style="429" customWidth="1"/>
    <col min="8011" max="8013" width="1" style="429"/>
    <col min="8014" max="8014" width="1" style="429" customWidth="1"/>
    <col min="8015" max="8024" width="1" style="429"/>
    <col min="8025" max="8026" width="1" style="429" customWidth="1"/>
    <col min="8027" max="8265" width="1" style="429"/>
    <col min="8266" max="8266" width="1" style="429" customWidth="1"/>
    <col min="8267" max="8269" width="1" style="429"/>
    <col min="8270" max="8270" width="1" style="429" customWidth="1"/>
    <col min="8271" max="8280" width="1" style="429"/>
    <col min="8281" max="8282" width="1" style="429" customWidth="1"/>
    <col min="8283" max="8521" width="1" style="429"/>
    <col min="8522" max="8522" width="1" style="429" customWidth="1"/>
    <col min="8523" max="8525" width="1" style="429"/>
    <col min="8526" max="8526" width="1" style="429" customWidth="1"/>
    <col min="8527" max="8536" width="1" style="429"/>
    <col min="8537" max="8538" width="1" style="429" customWidth="1"/>
    <col min="8539" max="8777" width="1" style="429"/>
    <col min="8778" max="8778" width="1" style="429" customWidth="1"/>
    <col min="8779" max="8781" width="1" style="429"/>
    <col min="8782" max="8782" width="1" style="429" customWidth="1"/>
    <col min="8783" max="8792" width="1" style="429"/>
    <col min="8793" max="8794" width="1" style="429" customWidth="1"/>
    <col min="8795" max="9033" width="1" style="429"/>
    <col min="9034" max="9034" width="1" style="429" customWidth="1"/>
    <col min="9035" max="9037" width="1" style="429"/>
    <col min="9038" max="9038" width="1" style="429" customWidth="1"/>
    <col min="9039" max="9048" width="1" style="429"/>
    <col min="9049" max="9050" width="1" style="429" customWidth="1"/>
    <col min="9051" max="9289" width="1" style="429"/>
    <col min="9290" max="9290" width="1" style="429" customWidth="1"/>
    <col min="9291" max="9293" width="1" style="429"/>
    <col min="9294" max="9294" width="1" style="429" customWidth="1"/>
    <col min="9295" max="9304" width="1" style="429"/>
    <col min="9305" max="9306" width="1" style="429" customWidth="1"/>
    <col min="9307" max="9545" width="1" style="429"/>
    <col min="9546" max="9546" width="1" style="429" customWidth="1"/>
    <col min="9547" max="9549" width="1" style="429"/>
    <col min="9550" max="9550" width="1" style="429" customWidth="1"/>
    <col min="9551" max="9560" width="1" style="429"/>
    <col min="9561" max="9562" width="1" style="429" customWidth="1"/>
    <col min="9563" max="9801" width="1" style="429"/>
    <col min="9802" max="9802" width="1" style="429" customWidth="1"/>
    <col min="9803" max="9805" width="1" style="429"/>
    <col min="9806" max="9806" width="1" style="429" customWidth="1"/>
    <col min="9807" max="9816" width="1" style="429"/>
    <col min="9817" max="9818" width="1" style="429" customWidth="1"/>
    <col min="9819" max="10057" width="1" style="429"/>
    <col min="10058" max="10058" width="1" style="429" customWidth="1"/>
    <col min="10059" max="10061" width="1" style="429"/>
    <col min="10062" max="10062" width="1" style="429" customWidth="1"/>
    <col min="10063" max="10072" width="1" style="429"/>
    <col min="10073" max="10074" width="1" style="429" customWidth="1"/>
    <col min="10075" max="10313" width="1" style="429"/>
    <col min="10314" max="10314" width="1" style="429" customWidth="1"/>
    <col min="10315" max="10317" width="1" style="429"/>
    <col min="10318" max="10318" width="1" style="429" customWidth="1"/>
    <col min="10319" max="10328" width="1" style="429"/>
    <col min="10329" max="10330" width="1" style="429" customWidth="1"/>
    <col min="10331" max="10569" width="1" style="429"/>
    <col min="10570" max="10570" width="1" style="429" customWidth="1"/>
    <col min="10571" max="10573" width="1" style="429"/>
    <col min="10574" max="10574" width="1" style="429" customWidth="1"/>
    <col min="10575" max="10584" width="1" style="429"/>
    <col min="10585" max="10586" width="1" style="429" customWidth="1"/>
    <col min="10587" max="10825" width="1" style="429"/>
    <col min="10826" max="10826" width="1" style="429" customWidth="1"/>
    <col min="10827" max="10829" width="1" style="429"/>
    <col min="10830" max="10830" width="1" style="429" customWidth="1"/>
    <col min="10831" max="10840" width="1" style="429"/>
    <col min="10841" max="10842" width="1" style="429" customWidth="1"/>
    <col min="10843" max="11081" width="1" style="429"/>
    <col min="11082" max="11082" width="1" style="429" customWidth="1"/>
    <col min="11083" max="11085" width="1" style="429"/>
    <col min="11086" max="11086" width="1" style="429" customWidth="1"/>
    <col min="11087" max="11096" width="1" style="429"/>
    <col min="11097" max="11098" width="1" style="429" customWidth="1"/>
    <col min="11099" max="11337" width="1" style="429"/>
    <col min="11338" max="11338" width="1" style="429" customWidth="1"/>
    <col min="11339" max="11341" width="1" style="429"/>
    <col min="11342" max="11342" width="1" style="429" customWidth="1"/>
    <col min="11343" max="11352" width="1" style="429"/>
    <col min="11353" max="11354" width="1" style="429" customWidth="1"/>
    <col min="11355" max="11593" width="1" style="429"/>
    <col min="11594" max="11594" width="1" style="429" customWidth="1"/>
    <col min="11595" max="11597" width="1" style="429"/>
    <col min="11598" max="11598" width="1" style="429" customWidth="1"/>
    <col min="11599" max="11608" width="1" style="429"/>
    <col min="11609" max="11610" width="1" style="429" customWidth="1"/>
    <col min="11611" max="11849" width="1" style="429"/>
    <col min="11850" max="11850" width="1" style="429" customWidth="1"/>
    <col min="11851" max="11853" width="1" style="429"/>
    <col min="11854" max="11854" width="1" style="429" customWidth="1"/>
    <col min="11855" max="11864" width="1" style="429"/>
    <col min="11865" max="11866" width="1" style="429" customWidth="1"/>
    <col min="11867" max="12105" width="1" style="429"/>
    <col min="12106" max="12106" width="1" style="429" customWidth="1"/>
    <col min="12107" max="12109" width="1" style="429"/>
    <col min="12110" max="12110" width="1" style="429" customWidth="1"/>
    <col min="12111" max="12120" width="1" style="429"/>
    <col min="12121" max="12122" width="1" style="429" customWidth="1"/>
    <col min="12123" max="12361" width="1" style="429"/>
    <col min="12362" max="12362" width="1" style="429" customWidth="1"/>
    <col min="12363" max="12365" width="1" style="429"/>
    <col min="12366" max="12366" width="1" style="429" customWidth="1"/>
    <col min="12367" max="12376" width="1" style="429"/>
    <col min="12377" max="12378" width="1" style="429" customWidth="1"/>
    <col min="12379" max="12617" width="1" style="429"/>
    <col min="12618" max="12618" width="1" style="429" customWidth="1"/>
    <col min="12619" max="12621" width="1" style="429"/>
    <col min="12622" max="12622" width="1" style="429" customWidth="1"/>
    <col min="12623" max="12632" width="1" style="429"/>
    <col min="12633" max="12634" width="1" style="429" customWidth="1"/>
    <col min="12635" max="12873" width="1" style="429"/>
    <col min="12874" max="12874" width="1" style="429" customWidth="1"/>
    <col min="12875" max="12877" width="1" style="429"/>
    <col min="12878" max="12878" width="1" style="429" customWidth="1"/>
    <col min="12879" max="12888" width="1" style="429"/>
    <col min="12889" max="12890" width="1" style="429" customWidth="1"/>
    <col min="12891" max="13129" width="1" style="429"/>
    <col min="13130" max="13130" width="1" style="429" customWidth="1"/>
    <col min="13131" max="13133" width="1" style="429"/>
    <col min="13134" max="13134" width="1" style="429" customWidth="1"/>
    <col min="13135" max="13144" width="1" style="429"/>
    <col min="13145" max="13146" width="1" style="429" customWidth="1"/>
    <col min="13147" max="13385" width="1" style="429"/>
    <col min="13386" max="13386" width="1" style="429" customWidth="1"/>
    <col min="13387" max="13389" width="1" style="429"/>
    <col min="13390" max="13390" width="1" style="429" customWidth="1"/>
    <col min="13391" max="13400" width="1" style="429"/>
    <col min="13401" max="13402" width="1" style="429" customWidth="1"/>
    <col min="13403" max="13641" width="1" style="429"/>
    <col min="13642" max="13642" width="1" style="429" customWidth="1"/>
    <col min="13643" max="13645" width="1" style="429"/>
    <col min="13646" max="13646" width="1" style="429" customWidth="1"/>
    <col min="13647" max="13656" width="1" style="429"/>
    <col min="13657" max="13658" width="1" style="429" customWidth="1"/>
    <col min="13659" max="13897" width="1" style="429"/>
    <col min="13898" max="13898" width="1" style="429" customWidth="1"/>
    <col min="13899" max="13901" width="1" style="429"/>
    <col min="13902" max="13902" width="1" style="429" customWidth="1"/>
    <col min="13903" max="13912" width="1" style="429"/>
    <col min="13913" max="13914" width="1" style="429" customWidth="1"/>
    <col min="13915" max="14153" width="1" style="429"/>
    <col min="14154" max="14154" width="1" style="429" customWidth="1"/>
    <col min="14155" max="14157" width="1" style="429"/>
    <col min="14158" max="14158" width="1" style="429" customWidth="1"/>
    <col min="14159" max="14168" width="1" style="429"/>
    <col min="14169" max="14170" width="1" style="429" customWidth="1"/>
    <col min="14171" max="14409" width="1" style="429"/>
    <col min="14410" max="14410" width="1" style="429" customWidth="1"/>
    <col min="14411" max="14413" width="1" style="429"/>
    <col min="14414" max="14414" width="1" style="429" customWidth="1"/>
    <col min="14415" max="14424" width="1" style="429"/>
    <col min="14425" max="14426" width="1" style="429" customWidth="1"/>
    <col min="14427" max="14665" width="1" style="429"/>
    <col min="14666" max="14666" width="1" style="429" customWidth="1"/>
    <col min="14667" max="14669" width="1" style="429"/>
    <col min="14670" max="14670" width="1" style="429" customWidth="1"/>
    <col min="14671" max="14680" width="1" style="429"/>
    <col min="14681" max="14682" width="1" style="429" customWidth="1"/>
    <col min="14683" max="14921" width="1" style="429"/>
    <col min="14922" max="14922" width="1" style="429" customWidth="1"/>
    <col min="14923" max="14925" width="1" style="429"/>
    <col min="14926" max="14926" width="1" style="429" customWidth="1"/>
    <col min="14927" max="14936" width="1" style="429"/>
    <col min="14937" max="14938" width="1" style="429" customWidth="1"/>
    <col min="14939" max="15177" width="1" style="429"/>
    <col min="15178" max="15178" width="1" style="429" customWidth="1"/>
    <col min="15179" max="15181" width="1" style="429"/>
    <col min="15182" max="15182" width="1" style="429" customWidth="1"/>
    <col min="15183" max="15192" width="1" style="429"/>
    <col min="15193" max="15194" width="1" style="429" customWidth="1"/>
    <col min="15195" max="15433" width="1" style="429"/>
    <col min="15434" max="15434" width="1" style="429" customWidth="1"/>
    <col min="15435" max="15437" width="1" style="429"/>
    <col min="15438" max="15438" width="1" style="429" customWidth="1"/>
    <col min="15439" max="15448" width="1" style="429"/>
    <col min="15449" max="15450" width="1" style="429" customWidth="1"/>
    <col min="15451" max="15689" width="1" style="429"/>
    <col min="15690" max="15690" width="1" style="429" customWidth="1"/>
    <col min="15691" max="15693" width="1" style="429"/>
    <col min="15694" max="15694" width="1" style="429" customWidth="1"/>
    <col min="15695" max="15704" width="1" style="429"/>
    <col min="15705" max="15706" width="1" style="429" customWidth="1"/>
    <col min="15707" max="15945" width="1" style="429"/>
    <col min="15946" max="15946" width="1" style="429" customWidth="1"/>
    <col min="15947" max="15949" width="1" style="429"/>
    <col min="15950" max="15950" width="1" style="429" customWidth="1"/>
    <col min="15951" max="15960" width="1" style="429"/>
    <col min="15961" max="15962" width="1" style="429" customWidth="1"/>
    <col min="15963" max="16201" width="1" style="429"/>
    <col min="16202" max="16202" width="1" style="429" customWidth="1"/>
    <col min="16203" max="16205" width="1" style="429"/>
    <col min="16206" max="16206" width="1" style="429" customWidth="1"/>
    <col min="16207" max="16216" width="1" style="429"/>
    <col min="16217" max="16218" width="1" style="429" customWidth="1"/>
    <col min="16219" max="16384" width="1" style="429"/>
  </cols>
  <sheetData>
    <row r="1" spans="1:184" s="346" customFormat="1" ht="13.5" customHeight="1" x14ac:dyDescent="0.2">
      <c r="B1" s="537" t="s">
        <v>288</v>
      </c>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c r="AP1" s="537"/>
      <c r="AQ1" s="537"/>
      <c r="AR1" s="537"/>
      <c r="AS1" s="537"/>
      <c r="AT1" s="537"/>
      <c r="AU1" s="537"/>
      <c r="AV1" s="537"/>
      <c r="AW1" s="537"/>
      <c r="AX1" s="537"/>
      <c r="AY1" s="537"/>
      <c r="AZ1" s="537"/>
      <c r="BA1" s="537"/>
      <c r="BB1" s="537"/>
      <c r="BC1" s="537"/>
      <c r="BD1" s="537"/>
      <c r="BE1" s="537"/>
      <c r="BF1" s="537"/>
      <c r="BG1" s="537"/>
      <c r="BH1" s="537"/>
      <c r="BI1" s="537"/>
      <c r="BJ1" s="537"/>
      <c r="BK1" s="537"/>
      <c r="BL1" s="537"/>
      <c r="BM1" s="537"/>
      <c r="BN1" s="537"/>
      <c r="BO1" s="537"/>
      <c r="BP1" s="537"/>
      <c r="BQ1" s="537"/>
      <c r="BR1" s="537"/>
      <c r="BS1" s="537"/>
      <c r="BT1" s="537"/>
      <c r="BU1" s="537"/>
      <c r="BV1" s="537"/>
      <c r="BW1" s="537"/>
      <c r="BX1" s="537"/>
      <c r="BY1" s="537"/>
      <c r="BZ1" s="537"/>
      <c r="CA1" s="537"/>
      <c r="CB1" s="537"/>
      <c r="CC1" s="537"/>
      <c r="CD1" s="537"/>
      <c r="CE1" s="537"/>
      <c r="CF1" s="537"/>
      <c r="CG1" s="537"/>
      <c r="CH1" s="537"/>
      <c r="CI1" s="537"/>
      <c r="CJ1" s="537"/>
      <c r="CK1" s="537"/>
      <c r="CL1" s="537"/>
      <c r="CM1" s="537"/>
      <c r="CN1" s="537"/>
      <c r="CO1" s="537"/>
      <c r="CP1" s="537"/>
      <c r="CQ1" s="537"/>
      <c r="CR1" s="537"/>
      <c r="CS1" s="537"/>
      <c r="CT1" s="537"/>
      <c r="CU1" s="537"/>
      <c r="CV1" s="537"/>
      <c r="CW1" s="537"/>
      <c r="CX1" s="537"/>
      <c r="CY1" s="537"/>
      <c r="CZ1" s="537"/>
      <c r="DA1" s="537"/>
      <c r="DB1" s="537"/>
      <c r="DC1" s="537"/>
      <c r="DD1" s="537"/>
      <c r="DE1" s="537"/>
      <c r="DF1" s="537"/>
      <c r="DG1" s="537"/>
      <c r="DH1" s="537"/>
      <c r="DI1" s="537"/>
      <c r="DJ1" s="537"/>
      <c r="DK1" s="537"/>
      <c r="DL1" s="537"/>
      <c r="DM1" s="537"/>
      <c r="DN1" s="537"/>
      <c r="DO1" s="537"/>
      <c r="DP1" s="537"/>
      <c r="DQ1" s="537"/>
      <c r="DR1" s="537"/>
      <c r="DS1" s="537"/>
      <c r="DT1" s="537"/>
      <c r="DU1" s="537"/>
      <c r="DV1" s="537"/>
      <c r="DW1" s="537"/>
      <c r="DX1" s="537"/>
      <c r="DY1" s="537"/>
      <c r="DZ1" s="537"/>
      <c r="EA1" s="537"/>
      <c r="EB1" s="537"/>
      <c r="EC1" s="537"/>
      <c r="ED1" s="537"/>
      <c r="EE1" s="537"/>
      <c r="EF1" s="537"/>
      <c r="EG1" s="537"/>
      <c r="EH1" s="537"/>
      <c r="EI1" s="537"/>
      <c r="EJ1" s="537"/>
      <c r="EK1" s="537"/>
      <c r="EL1" s="537"/>
      <c r="EM1" s="537"/>
      <c r="EN1" s="537"/>
      <c r="EO1" s="537"/>
      <c r="EP1" s="537"/>
      <c r="EQ1" s="537"/>
      <c r="ER1" s="537"/>
      <c r="ES1" s="537"/>
      <c r="ET1" s="537"/>
      <c r="EU1" s="537"/>
      <c r="EV1" s="537"/>
      <c r="EW1" s="537"/>
      <c r="EX1" s="537"/>
      <c r="EY1" s="537"/>
      <c r="EZ1" s="537"/>
      <c r="FA1" s="537"/>
      <c r="FB1" s="537"/>
      <c r="FC1" s="537"/>
      <c r="FD1" s="537"/>
      <c r="FE1" s="537"/>
      <c r="FF1" s="537"/>
      <c r="FG1" s="537"/>
      <c r="FH1" s="537"/>
      <c r="FI1" s="537"/>
      <c r="FJ1" s="537"/>
      <c r="FK1" s="537"/>
      <c r="FL1" s="537"/>
      <c r="FM1" s="537"/>
      <c r="FN1" s="537"/>
      <c r="FO1" s="537"/>
      <c r="FP1" s="537"/>
      <c r="FQ1" s="537"/>
    </row>
    <row r="3" spans="1:184" ht="11.25" customHeight="1" x14ac:dyDescent="0.2">
      <c r="A3" s="538" t="s">
        <v>289</v>
      </c>
      <c r="B3" s="538"/>
      <c r="C3" s="538"/>
      <c r="D3" s="538"/>
      <c r="E3" s="538"/>
      <c r="F3" s="538"/>
      <c r="G3" s="538"/>
      <c r="H3" s="539"/>
      <c r="I3" s="544" t="s">
        <v>177</v>
      </c>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c r="AI3" s="545"/>
      <c r="AJ3" s="545"/>
      <c r="AK3" s="545"/>
      <c r="AL3" s="545"/>
      <c r="AM3" s="545"/>
      <c r="AN3" s="545"/>
      <c r="AO3" s="545"/>
      <c r="AP3" s="545"/>
      <c r="AQ3" s="545"/>
      <c r="AR3" s="545"/>
      <c r="AS3" s="545"/>
      <c r="AT3" s="545"/>
      <c r="AU3" s="545"/>
      <c r="AV3" s="545"/>
      <c r="AW3" s="545"/>
      <c r="AX3" s="545"/>
      <c r="AY3" s="545"/>
      <c r="AZ3" s="545"/>
      <c r="BA3" s="545"/>
      <c r="BB3" s="545"/>
      <c r="BC3" s="545"/>
      <c r="BD3" s="545"/>
      <c r="BE3" s="545"/>
      <c r="BF3" s="545"/>
      <c r="BG3" s="545"/>
      <c r="BH3" s="545"/>
      <c r="BI3" s="545"/>
      <c r="BJ3" s="545"/>
      <c r="BK3" s="545"/>
      <c r="BL3" s="545"/>
      <c r="BM3" s="545"/>
      <c r="BN3" s="545"/>
      <c r="BO3" s="545"/>
      <c r="BP3" s="545"/>
      <c r="BQ3" s="545"/>
      <c r="BR3" s="545"/>
      <c r="BS3" s="545"/>
      <c r="BT3" s="545"/>
      <c r="BU3" s="545"/>
      <c r="BV3" s="545"/>
      <c r="BW3" s="545"/>
      <c r="BX3" s="545"/>
      <c r="BY3" s="545"/>
      <c r="BZ3" s="545"/>
      <c r="CA3" s="545"/>
      <c r="CB3" s="545"/>
      <c r="CC3" s="545"/>
      <c r="CD3" s="545"/>
      <c r="CE3" s="545"/>
      <c r="CF3" s="545"/>
      <c r="CG3" s="545"/>
      <c r="CH3" s="545"/>
      <c r="CI3" s="545"/>
      <c r="CJ3" s="545"/>
      <c r="CK3" s="545"/>
      <c r="CL3" s="545"/>
      <c r="CM3" s="546"/>
      <c r="CN3" s="553" t="s">
        <v>290</v>
      </c>
      <c r="CO3" s="538"/>
      <c r="CP3" s="538"/>
      <c r="CQ3" s="538"/>
      <c r="CR3" s="538"/>
      <c r="CS3" s="538"/>
      <c r="CT3" s="538"/>
      <c r="CU3" s="539"/>
      <c r="CV3" s="553" t="s">
        <v>291</v>
      </c>
      <c r="CW3" s="538"/>
      <c r="CX3" s="538"/>
      <c r="CY3" s="538"/>
      <c r="CZ3" s="538"/>
      <c r="DA3" s="538"/>
      <c r="DB3" s="538"/>
      <c r="DC3" s="538"/>
      <c r="DD3" s="538"/>
      <c r="DE3" s="539"/>
      <c r="DF3" s="553" t="s">
        <v>371</v>
      </c>
      <c r="DG3" s="538"/>
      <c r="DH3" s="538"/>
      <c r="DI3" s="538"/>
      <c r="DJ3" s="538"/>
      <c r="DK3" s="538"/>
      <c r="DL3" s="538"/>
      <c r="DM3" s="538"/>
      <c r="DN3" s="538"/>
      <c r="DO3" s="538"/>
      <c r="DP3" s="538"/>
      <c r="DQ3" s="538"/>
      <c r="DR3" s="539"/>
      <c r="DS3" s="556" t="s">
        <v>81</v>
      </c>
      <c r="DT3" s="557"/>
      <c r="DU3" s="557"/>
      <c r="DV3" s="557"/>
      <c r="DW3" s="557"/>
      <c r="DX3" s="557"/>
      <c r="DY3" s="557"/>
      <c r="DZ3" s="557"/>
      <c r="EA3" s="557"/>
      <c r="EB3" s="557"/>
      <c r="EC3" s="557"/>
      <c r="ED3" s="557"/>
      <c r="EE3" s="557"/>
      <c r="EF3" s="557"/>
      <c r="EG3" s="557"/>
      <c r="EH3" s="557"/>
      <c r="EI3" s="557"/>
      <c r="EJ3" s="557"/>
      <c r="EK3" s="557"/>
      <c r="EL3" s="557"/>
      <c r="EM3" s="557"/>
      <c r="EN3" s="557"/>
      <c r="EO3" s="557"/>
      <c r="EP3" s="557"/>
      <c r="EQ3" s="557"/>
      <c r="ER3" s="557"/>
      <c r="ES3" s="557"/>
      <c r="ET3" s="557"/>
      <c r="EU3" s="557"/>
      <c r="EV3" s="557"/>
      <c r="EW3" s="557"/>
      <c r="EX3" s="557"/>
      <c r="EY3" s="557"/>
      <c r="EZ3" s="557"/>
      <c r="FA3" s="557"/>
      <c r="FB3" s="557"/>
      <c r="FC3" s="557"/>
      <c r="FD3" s="557"/>
      <c r="FE3" s="557"/>
      <c r="FF3" s="557"/>
      <c r="FG3" s="557"/>
      <c r="FH3" s="557"/>
      <c r="FI3" s="557"/>
      <c r="FJ3" s="557"/>
      <c r="FK3" s="557"/>
      <c r="FL3" s="557"/>
      <c r="FM3" s="557"/>
      <c r="FN3" s="557"/>
      <c r="FO3" s="557"/>
      <c r="FP3" s="557"/>
      <c r="FQ3" s="557"/>
      <c r="FR3" s="557"/>
    </row>
    <row r="4" spans="1:184" ht="11.25" customHeight="1" x14ac:dyDescent="0.2">
      <c r="A4" s="540"/>
      <c r="B4" s="540"/>
      <c r="C4" s="540"/>
      <c r="D4" s="540"/>
      <c r="E4" s="540"/>
      <c r="F4" s="540"/>
      <c r="G4" s="540"/>
      <c r="H4" s="541"/>
      <c r="I4" s="547"/>
      <c r="J4" s="548"/>
      <c r="K4" s="548"/>
      <c r="L4" s="548"/>
      <c r="M4" s="548"/>
      <c r="N4" s="548"/>
      <c r="O4" s="548"/>
      <c r="P4" s="548"/>
      <c r="Q4" s="548"/>
      <c r="R4" s="548"/>
      <c r="S4" s="548"/>
      <c r="T4" s="548"/>
      <c r="U4" s="548"/>
      <c r="V4" s="548"/>
      <c r="W4" s="548"/>
      <c r="X4" s="548"/>
      <c r="Y4" s="548"/>
      <c r="Z4" s="548"/>
      <c r="AA4" s="548"/>
      <c r="AB4" s="548"/>
      <c r="AC4" s="548"/>
      <c r="AD4" s="548"/>
      <c r="AE4" s="548"/>
      <c r="AF4" s="548"/>
      <c r="AG4" s="548"/>
      <c r="AH4" s="548"/>
      <c r="AI4" s="548"/>
      <c r="AJ4" s="548"/>
      <c r="AK4" s="548"/>
      <c r="AL4" s="548"/>
      <c r="AM4" s="548"/>
      <c r="AN4" s="548"/>
      <c r="AO4" s="548"/>
      <c r="AP4" s="548"/>
      <c r="AQ4" s="548"/>
      <c r="AR4" s="548"/>
      <c r="AS4" s="548"/>
      <c r="AT4" s="548"/>
      <c r="AU4" s="548"/>
      <c r="AV4" s="548"/>
      <c r="AW4" s="548"/>
      <c r="AX4" s="548"/>
      <c r="AY4" s="548"/>
      <c r="AZ4" s="548"/>
      <c r="BA4" s="548"/>
      <c r="BB4" s="548"/>
      <c r="BC4" s="548"/>
      <c r="BD4" s="548"/>
      <c r="BE4" s="548"/>
      <c r="BF4" s="548"/>
      <c r="BG4" s="548"/>
      <c r="BH4" s="548"/>
      <c r="BI4" s="548"/>
      <c r="BJ4" s="548"/>
      <c r="BK4" s="548"/>
      <c r="BL4" s="548"/>
      <c r="BM4" s="548"/>
      <c r="BN4" s="548"/>
      <c r="BO4" s="548"/>
      <c r="BP4" s="548"/>
      <c r="BQ4" s="548"/>
      <c r="BR4" s="548"/>
      <c r="BS4" s="548"/>
      <c r="BT4" s="548"/>
      <c r="BU4" s="548"/>
      <c r="BV4" s="548"/>
      <c r="BW4" s="548"/>
      <c r="BX4" s="548"/>
      <c r="BY4" s="548"/>
      <c r="BZ4" s="548"/>
      <c r="CA4" s="548"/>
      <c r="CB4" s="548"/>
      <c r="CC4" s="548"/>
      <c r="CD4" s="548"/>
      <c r="CE4" s="548"/>
      <c r="CF4" s="548"/>
      <c r="CG4" s="548"/>
      <c r="CH4" s="548"/>
      <c r="CI4" s="548"/>
      <c r="CJ4" s="548"/>
      <c r="CK4" s="548"/>
      <c r="CL4" s="548"/>
      <c r="CM4" s="549"/>
      <c r="CN4" s="554"/>
      <c r="CO4" s="540"/>
      <c r="CP4" s="540"/>
      <c r="CQ4" s="540"/>
      <c r="CR4" s="540"/>
      <c r="CS4" s="540"/>
      <c r="CT4" s="540"/>
      <c r="CU4" s="541"/>
      <c r="CV4" s="554"/>
      <c r="CW4" s="540"/>
      <c r="CX4" s="540"/>
      <c r="CY4" s="540"/>
      <c r="CZ4" s="540"/>
      <c r="DA4" s="540"/>
      <c r="DB4" s="540"/>
      <c r="DC4" s="540"/>
      <c r="DD4" s="540"/>
      <c r="DE4" s="541"/>
      <c r="DF4" s="554"/>
      <c r="DG4" s="540"/>
      <c r="DH4" s="540"/>
      <c r="DI4" s="540"/>
      <c r="DJ4" s="540"/>
      <c r="DK4" s="540"/>
      <c r="DL4" s="540"/>
      <c r="DM4" s="540"/>
      <c r="DN4" s="540"/>
      <c r="DO4" s="540"/>
      <c r="DP4" s="540"/>
      <c r="DQ4" s="540"/>
      <c r="DR4" s="541"/>
      <c r="DS4" s="529" t="s">
        <v>292</v>
      </c>
      <c r="DT4" s="530"/>
      <c r="DU4" s="530"/>
      <c r="DV4" s="530"/>
      <c r="DW4" s="530"/>
      <c r="DX4" s="530"/>
      <c r="DY4" s="531" t="s">
        <v>363</v>
      </c>
      <c r="DZ4" s="531"/>
      <c r="EA4" s="531"/>
      <c r="EB4" s="532" t="s">
        <v>293</v>
      </c>
      <c r="EC4" s="532"/>
      <c r="ED4" s="532"/>
      <c r="EE4" s="533"/>
      <c r="EF4" s="529" t="s">
        <v>292</v>
      </c>
      <c r="EG4" s="530"/>
      <c r="EH4" s="530"/>
      <c r="EI4" s="530"/>
      <c r="EJ4" s="530"/>
      <c r="EK4" s="530"/>
      <c r="EL4" s="531" t="s">
        <v>364</v>
      </c>
      <c r="EM4" s="531"/>
      <c r="EN4" s="531"/>
      <c r="EO4" s="532" t="s">
        <v>293</v>
      </c>
      <c r="EP4" s="532"/>
      <c r="EQ4" s="532"/>
      <c r="ER4" s="533"/>
      <c r="ES4" s="529" t="s">
        <v>292</v>
      </c>
      <c r="ET4" s="530"/>
      <c r="EU4" s="530"/>
      <c r="EV4" s="530"/>
      <c r="EW4" s="530"/>
      <c r="EX4" s="530"/>
      <c r="EY4" s="531" t="s">
        <v>397</v>
      </c>
      <c r="EZ4" s="531"/>
      <c r="FA4" s="531"/>
      <c r="FB4" s="532" t="s">
        <v>293</v>
      </c>
      <c r="FC4" s="532"/>
      <c r="FD4" s="532"/>
      <c r="FE4" s="533"/>
      <c r="FF4" s="553" t="s">
        <v>294</v>
      </c>
      <c r="FG4" s="538"/>
      <c r="FH4" s="538"/>
      <c r="FI4" s="538"/>
      <c r="FJ4" s="538"/>
      <c r="FK4" s="538"/>
      <c r="FL4" s="538"/>
      <c r="FM4" s="538"/>
      <c r="FN4" s="538"/>
      <c r="FO4" s="538"/>
      <c r="FP4" s="538"/>
      <c r="FQ4" s="538"/>
      <c r="FR4" s="538"/>
    </row>
    <row r="5" spans="1:184" ht="39" customHeight="1" x14ac:dyDescent="0.2">
      <c r="A5" s="542"/>
      <c r="B5" s="542"/>
      <c r="C5" s="542"/>
      <c r="D5" s="542"/>
      <c r="E5" s="542"/>
      <c r="F5" s="542"/>
      <c r="G5" s="542"/>
      <c r="H5" s="543"/>
      <c r="I5" s="550"/>
      <c r="J5" s="551"/>
      <c r="K5" s="551"/>
      <c r="L5" s="551"/>
      <c r="M5" s="551"/>
      <c r="N5" s="551"/>
      <c r="O5" s="551"/>
      <c r="P5" s="551"/>
      <c r="Q5" s="551"/>
      <c r="R5" s="551"/>
      <c r="S5" s="551"/>
      <c r="T5" s="551"/>
      <c r="U5" s="551"/>
      <c r="V5" s="551"/>
      <c r="W5" s="551"/>
      <c r="X5" s="551"/>
      <c r="Y5" s="551"/>
      <c r="Z5" s="551"/>
      <c r="AA5" s="551"/>
      <c r="AB5" s="551"/>
      <c r="AC5" s="551"/>
      <c r="AD5" s="551"/>
      <c r="AE5" s="551"/>
      <c r="AF5" s="551"/>
      <c r="AG5" s="551"/>
      <c r="AH5" s="551"/>
      <c r="AI5" s="551"/>
      <c r="AJ5" s="551"/>
      <c r="AK5" s="551"/>
      <c r="AL5" s="551"/>
      <c r="AM5" s="551"/>
      <c r="AN5" s="551"/>
      <c r="AO5" s="551"/>
      <c r="AP5" s="551"/>
      <c r="AQ5" s="551"/>
      <c r="AR5" s="551"/>
      <c r="AS5" s="551"/>
      <c r="AT5" s="551"/>
      <c r="AU5" s="551"/>
      <c r="AV5" s="551"/>
      <c r="AW5" s="551"/>
      <c r="AX5" s="551"/>
      <c r="AY5" s="551"/>
      <c r="AZ5" s="551"/>
      <c r="BA5" s="551"/>
      <c r="BB5" s="551"/>
      <c r="BC5" s="551"/>
      <c r="BD5" s="551"/>
      <c r="BE5" s="551"/>
      <c r="BF5" s="551"/>
      <c r="BG5" s="551"/>
      <c r="BH5" s="551"/>
      <c r="BI5" s="551"/>
      <c r="BJ5" s="551"/>
      <c r="BK5" s="551"/>
      <c r="BL5" s="551"/>
      <c r="BM5" s="551"/>
      <c r="BN5" s="551"/>
      <c r="BO5" s="551"/>
      <c r="BP5" s="551"/>
      <c r="BQ5" s="551"/>
      <c r="BR5" s="551"/>
      <c r="BS5" s="551"/>
      <c r="BT5" s="551"/>
      <c r="BU5" s="551"/>
      <c r="BV5" s="551"/>
      <c r="BW5" s="551"/>
      <c r="BX5" s="551"/>
      <c r="BY5" s="551"/>
      <c r="BZ5" s="551"/>
      <c r="CA5" s="551"/>
      <c r="CB5" s="551"/>
      <c r="CC5" s="551"/>
      <c r="CD5" s="551"/>
      <c r="CE5" s="551"/>
      <c r="CF5" s="551"/>
      <c r="CG5" s="551"/>
      <c r="CH5" s="551"/>
      <c r="CI5" s="551"/>
      <c r="CJ5" s="551"/>
      <c r="CK5" s="551"/>
      <c r="CL5" s="551"/>
      <c r="CM5" s="552"/>
      <c r="CN5" s="555"/>
      <c r="CO5" s="542"/>
      <c r="CP5" s="542"/>
      <c r="CQ5" s="542"/>
      <c r="CR5" s="542"/>
      <c r="CS5" s="542"/>
      <c r="CT5" s="542"/>
      <c r="CU5" s="543"/>
      <c r="CV5" s="555"/>
      <c r="CW5" s="542"/>
      <c r="CX5" s="542"/>
      <c r="CY5" s="542"/>
      <c r="CZ5" s="542"/>
      <c r="DA5" s="542"/>
      <c r="DB5" s="542"/>
      <c r="DC5" s="542"/>
      <c r="DD5" s="542"/>
      <c r="DE5" s="543"/>
      <c r="DF5" s="555"/>
      <c r="DG5" s="542"/>
      <c r="DH5" s="542"/>
      <c r="DI5" s="542"/>
      <c r="DJ5" s="542"/>
      <c r="DK5" s="542"/>
      <c r="DL5" s="542"/>
      <c r="DM5" s="542"/>
      <c r="DN5" s="542"/>
      <c r="DO5" s="542"/>
      <c r="DP5" s="542"/>
      <c r="DQ5" s="542"/>
      <c r="DR5" s="543"/>
      <c r="DS5" s="558" t="s">
        <v>179</v>
      </c>
      <c r="DT5" s="559"/>
      <c r="DU5" s="559"/>
      <c r="DV5" s="559"/>
      <c r="DW5" s="559"/>
      <c r="DX5" s="559"/>
      <c r="DY5" s="559"/>
      <c r="DZ5" s="559"/>
      <c r="EA5" s="559"/>
      <c r="EB5" s="559"/>
      <c r="EC5" s="559"/>
      <c r="ED5" s="559"/>
      <c r="EE5" s="560"/>
      <c r="EF5" s="558" t="s">
        <v>180</v>
      </c>
      <c r="EG5" s="559"/>
      <c r="EH5" s="559"/>
      <c r="EI5" s="559"/>
      <c r="EJ5" s="559"/>
      <c r="EK5" s="559"/>
      <c r="EL5" s="559"/>
      <c r="EM5" s="559"/>
      <c r="EN5" s="559"/>
      <c r="EO5" s="559"/>
      <c r="EP5" s="559"/>
      <c r="EQ5" s="559"/>
      <c r="ER5" s="560"/>
      <c r="ES5" s="558" t="s">
        <v>181</v>
      </c>
      <c r="ET5" s="559"/>
      <c r="EU5" s="559"/>
      <c r="EV5" s="559"/>
      <c r="EW5" s="559"/>
      <c r="EX5" s="559"/>
      <c r="EY5" s="559"/>
      <c r="EZ5" s="559"/>
      <c r="FA5" s="559"/>
      <c r="FB5" s="559"/>
      <c r="FC5" s="559"/>
      <c r="FD5" s="559"/>
      <c r="FE5" s="560"/>
      <c r="FF5" s="555"/>
      <c r="FG5" s="542"/>
      <c r="FH5" s="542"/>
      <c r="FI5" s="542"/>
      <c r="FJ5" s="542"/>
      <c r="FK5" s="542"/>
      <c r="FL5" s="542"/>
      <c r="FM5" s="542"/>
      <c r="FN5" s="542"/>
      <c r="FO5" s="542"/>
      <c r="FP5" s="542"/>
      <c r="FQ5" s="542"/>
      <c r="FR5" s="542"/>
    </row>
    <row r="6" spans="1:184" ht="10.8" thickBot="1" x14ac:dyDescent="0.25">
      <c r="A6" s="561" t="s">
        <v>295</v>
      </c>
      <c r="B6" s="561"/>
      <c r="C6" s="561"/>
      <c r="D6" s="561"/>
      <c r="E6" s="561"/>
      <c r="F6" s="561"/>
      <c r="G6" s="561"/>
      <c r="H6" s="562"/>
      <c r="I6" s="563" t="s">
        <v>296</v>
      </c>
      <c r="J6" s="561"/>
      <c r="K6" s="561"/>
      <c r="L6" s="561"/>
      <c r="M6" s="561"/>
      <c r="N6" s="561"/>
      <c r="O6" s="561"/>
      <c r="P6" s="561"/>
      <c r="Q6" s="561"/>
      <c r="R6" s="561"/>
      <c r="S6" s="561"/>
      <c r="T6" s="561"/>
      <c r="U6" s="561"/>
      <c r="V6" s="561"/>
      <c r="W6" s="561"/>
      <c r="X6" s="561"/>
      <c r="Y6" s="561"/>
      <c r="Z6" s="561"/>
      <c r="AA6" s="561"/>
      <c r="AB6" s="561"/>
      <c r="AC6" s="561"/>
      <c r="AD6" s="561"/>
      <c r="AE6" s="561"/>
      <c r="AF6" s="561"/>
      <c r="AG6" s="561"/>
      <c r="AH6" s="561"/>
      <c r="AI6" s="561"/>
      <c r="AJ6" s="561"/>
      <c r="AK6" s="561"/>
      <c r="AL6" s="561"/>
      <c r="AM6" s="561"/>
      <c r="AN6" s="561"/>
      <c r="AO6" s="561"/>
      <c r="AP6" s="561"/>
      <c r="AQ6" s="561"/>
      <c r="AR6" s="561"/>
      <c r="AS6" s="561"/>
      <c r="AT6" s="561"/>
      <c r="AU6" s="561"/>
      <c r="AV6" s="561"/>
      <c r="AW6" s="561"/>
      <c r="AX6" s="561"/>
      <c r="AY6" s="561"/>
      <c r="AZ6" s="561"/>
      <c r="BA6" s="561"/>
      <c r="BB6" s="561"/>
      <c r="BC6" s="561"/>
      <c r="BD6" s="561"/>
      <c r="BE6" s="561"/>
      <c r="BF6" s="561"/>
      <c r="BG6" s="561"/>
      <c r="BH6" s="561"/>
      <c r="BI6" s="561"/>
      <c r="BJ6" s="561"/>
      <c r="BK6" s="561"/>
      <c r="BL6" s="561"/>
      <c r="BM6" s="561"/>
      <c r="BN6" s="561"/>
      <c r="BO6" s="561"/>
      <c r="BP6" s="561"/>
      <c r="BQ6" s="561"/>
      <c r="BR6" s="561"/>
      <c r="BS6" s="561"/>
      <c r="BT6" s="561"/>
      <c r="BU6" s="561"/>
      <c r="BV6" s="561"/>
      <c r="BW6" s="561"/>
      <c r="BX6" s="561"/>
      <c r="BY6" s="561"/>
      <c r="BZ6" s="561"/>
      <c r="CA6" s="561"/>
      <c r="CB6" s="561"/>
      <c r="CC6" s="561"/>
      <c r="CD6" s="561"/>
      <c r="CE6" s="561"/>
      <c r="CF6" s="561"/>
      <c r="CG6" s="561"/>
      <c r="CH6" s="561"/>
      <c r="CI6" s="561"/>
      <c r="CJ6" s="561"/>
      <c r="CK6" s="561"/>
      <c r="CL6" s="561"/>
      <c r="CM6" s="562"/>
      <c r="CN6" s="534" t="s">
        <v>297</v>
      </c>
      <c r="CO6" s="535"/>
      <c r="CP6" s="535"/>
      <c r="CQ6" s="535"/>
      <c r="CR6" s="535"/>
      <c r="CS6" s="535"/>
      <c r="CT6" s="535"/>
      <c r="CU6" s="536"/>
      <c r="CV6" s="534" t="s">
        <v>298</v>
      </c>
      <c r="CW6" s="535"/>
      <c r="CX6" s="535"/>
      <c r="CY6" s="535"/>
      <c r="CZ6" s="535"/>
      <c r="DA6" s="535"/>
      <c r="DB6" s="535"/>
      <c r="DC6" s="535"/>
      <c r="DD6" s="535"/>
      <c r="DE6" s="536"/>
      <c r="DF6" s="534" t="s">
        <v>372</v>
      </c>
      <c r="DG6" s="535"/>
      <c r="DH6" s="535"/>
      <c r="DI6" s="535"/>
      <c r="DJ6" s="535"/>
      <c r="DK6" s="535"/>
      <c r="DL6" s="535"/>
      <c r="DM6" s="535"/>
      <c r="DN6" s="535"/>
      <c r="DO6" s="535"/>
      <c r="DP6" s="535"/>
      <c r="DQ6" s="535"/>
      <c r="DR6" s="536"/>
      <c r="DS6" s="534" t="s">
        <v>299</v>
      </c>
      <c r="DT6" s="535"/>
      <c r="DU6" s="535"/>
      <c r="DV6" s="535"/>
      <c r="DW6" s="535"/>
      <c r="DX6" s="535"/>
      <c r="DY6" s="535"/>
      <c r="DZ6" s="535"/>
      <c r="EA6" s="535"/>
      <c r="EB6" s="535"/>
      <c r="EC6" s="535"/>
      <c r="ED6" s="535"/>
      <c r="EE6" s="536"/>
      <c r="EF6" s="534" t="s">
        <v>300</v>
      </c>
      <c r="EG6" s="535"/>
      <c r="EH6" s="535"/>
      <c r="EI6" s="535"/>
      <c r="EJ6" s="535"/>
      <c r="EK6" s="535"/>
      <c r="EL6" s="535"/>
      <c r="EM6" s="535"/>
      <c r="EN6" s="535"/>
      <c r="EO6" s="535"/>
      <c r="EP6" s="535"/>
      <c r="EQ6" s="535"/>
      <c r="ER6" s="536"/>
      <c r="ES6" s="534" t="s">
        <v>301</v>
      </c>
      <c r="ET6" s="535"/>
      <c r="EU6" s="535"/>
      <c r="EV6" s="535"/>
      <c r="EW6" s="535"/>
      <c r="EX6" s="535"/>
      <c r="EY6" s="535"/>
      <c r="EZ6" s="535"/>
      <c r="FA6" s="535"/>
      <c r="FB6" s="535"/>
      <c r="FC6" s="535"/>
      <c r="FD6" s="535"/>
      <c r="FE6" s="536"/>
      <c r="FF6" s="534" t="s">
        <v>302</v>
      </c>
      <c r="FG6" s="535"/>
      <c r="FH6" s="535"/>
      <c r="FI6" s="535"/>
      <c r="FJ6" s="535"/>
      <c r="FK6" s="535"/>
      <c r="FL6" s="535"/>
      <c r="FM6" s="535"/>
      <c r="FN6" s="535"/>
      <c r="FO6" s="535"/>
      <c r="FP6" s="535"/>
      <c r="FQ6" s="535"/>
      <c r="FR6" s="535"/>
    </row>
    <row r="7" spans="1:184" ht="12.75" customHeight="1" x14ac:dyDescent="0.2">
      <c r="A7" s="580">
        <v>1</v>
      </c>
      <c r="B7" s="580"/>
      <c r="C7" s="580"/>
      <c r="D7" s="580"/>
      <c r="E7" s="580"/>
      <c r="F7" s="580"/>
      <c r="G7" s="580"/>
      <c r="H7" s="581"/>
      <c r="I7" s="582" t="s">
        <v>303</v>
      </c>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c r="BD7" s="583"/>
      <c r="BE7" s="583"/>
      <c r="BF7" s="583"/>
      <c r="BG7" s="583"/>
      <c r="BH7" s="583"/>
      <c r="BI7" s="583"/>
      <c r="BJ7" s="583"/>
      <c r="BK7" s="583"/>
      <c r="BL7" s="583"/>
      <c r="BM7" s="583"/>
      <c r="BN7" s="583"/>
      <c r="BO7" s="583"/>
      <c r="BP7" s="583"/>
      <c r="BQ7" s="583"/>
      <c r="BR7" s="583"/>
      <c r="BS7" s="583"/>
      <c r="BT7" s="583"/>
      <c r="BU7" s="583"/>
      <c r="BV7" s="583"/>
      <c r="BW7" s="583"/>
      <c r="BX7" s="583"/>
      <c r="BY7" s="583"/>
      <c r="BZ7" s="583"/>
      <c r="CA7" s="583"/>
      <c r="CB7" s="583"/>
      <c r="CC7" s="583"/>
      <c r="CD7" s="583"/>
      <c r="CE7" s="583"/>
      <c r="CF7" s="583"/>
      <c r="CG7" s="583"/>
      <c r="CH7" s="583"/>
      <c r="CI7" s="583"/>
      <c r="CJ7" s="583"/>
      <c r="CK7" s="583"/>
      <c r="CL7" s="583"/>
      <c r="CM7" s="584"/>
      <c r="CN7" s="585" t="s">
        <v>304</v>
      </c>
      <c r="CO7" s="586"/>
      <c r="CP7" s="586"/>
      <c r="CQ7" s="586"/>
      <c r="CR7" s="586"/>
      <c r="CS7" s="586"/>
      <c r="CT7" s="586"/>
      <c r="CU7" s="587"/>
      <c r="CV7" s="588" t="s">
        <v>190</v>
      </c>
      <c r="CW7" s="589"/>
      <c r="CX7" s="589"/>
      <c r="CY7" s="589"/>
      <c r="CZ7" s="589"/>
      <c r="DA7" s="589"/>
      <c r="DB7" s="589"/>
      <c r="DC7" s="589"/>
      <c r="DD7" s="589"/>
      <c r="DE7" s="590"/>
      <c r="DF7" s="591" t="s">
        <v>404</v>
      </c>
      <c r="DG7" s="591"/>
      <c r="DH7" s="591"/>
      <c r="DI7" s="591"/>
      <c r="DJ7" s="591"/>
      <c r="DK7" s="591"/>
      <c r="DL7" s="591"/>
      <c r="DM7" s="591"/>
      <c r="DN7" s="591"/>
      <c r="DO7" s="591"/>
      <c r="DP7" s="591"/>
      <c r="DQ7" s="591"/>
      <c r="DR7" s="591"/>
      <c r="DS7" s="592">
        <f>DS8+DS9+DS10+DS14</f>
        <v>13956452.550000001</v>
      </c>
      <c r="DT7" s="593"/>
      <c r="DU7" s="593"/>
      <c r="DV7" s="593"/>
      <c r="DW7" s="593"/>
      <c r="DX7" s="593"/>
      <c r="DY7" s="593"/>
      <c r="DZ7" s="593"/>
      <c r="EA7" s="593"/>
      <c r="EB7" s="593"/>
      <c r="EC7" s="593"/>
      <c r="ED7" s="593"/>
      <c r="EE7" s="594"/>
      <c r="EF7" s="592">
        <f>EF8+EF9+EF10+EF14</f>
        <v>11720329.57</v>
      </c>
      <c r="EG7" s="593"/>
      <c r="EH7" s="593"/>
      <c r="EI7" s="593"/>
      <c r="EJ7" s="593"/>
      <c r="EK7" s="593"/>
      <c r="EL7" s="593"/>
      <c r="EM7" s="593"/>
      <c r="EN7" s="593"/>
      <c r="EO7" s="593"/>
      <c r="EP7" s="593"/>
      <c r="EQ7" s="593"/>
      <c r="ER7" s="594"/>
      <c r="ES7" s="592">
        <f>ES8+ES9+ES10+ES14</f>
        <v>10940028.800000001</v>
      </c>
      <c r="ET7" s="593"/>
      <c r="EU7" s="593"/>
      <c r="EV7" s="593"/>
      <c r="EW7" s="593"/>
      <c r="EX7" s="593"/>
      <c r="EY7" s="593"/>
      <c r="EZ7" s="593"/>
      <c r="FA7" s="593"/>
      <c r="FB7" s="593"/>
      <c r="FC7" s="593"/>
      <c r="FD7" s="593"/>
      <c r="FE7" s="594"/>
      <c r="FF7" s="595"/>
      <c r="FG7" s="596"/>
      <c r="FH7" s="596"/>
      <c r="FI7" s="596"/>
      <c r="FJ7" s="596"/>
      <c r="FK7" s="596"/>
      <c r="FL7" s="596"/>
      <c r="FM7" s="596"/>
      <c r="FN7" s="596"/>
      <c r="FO7" s="596"/>
      <c r="FP7" s="596"/>
      <c r="FQ7" s="596"/>
      <c r="FR7" s="597"/>
      <c r="FS7" s="564"/>
      <c r="FT7" s="565"/>
      <c r="FU7" s="565"/>
      <c r="FV7" s="565"/>
      <c r="FW7" s="565"/>
      <c r="FX7" s="565"/>
      <c r="FY7" s="565"/>
      <c r="FZ7" s="565"/>
      <c r="GA7" s="565"/>
      <c r="GB7" s="565"/>
    </row>
    <row r="8" spans="1:184" ht="90" customHeight="1" x14ac:dyDescent="0.2">
      <c r="A8" s="566" t="s">
        <v>184</v>
      </c>
      <c r="B8" s="566"/>
      <c r="C8" s="566"/>
      <c r="D8" s="566"/>
      <c r="E8" s="566"/>
      <c r="F8" s="566"/>
      <c r="G8" s="566"/>
      <c r="H8" s="567"/>
      <c r="I8" s="568" t="s">
        <v>305</v>
      </c>
      <c r="J8" s="569"/>
      <c r="K8" s="569"/>
      <c r="L8" s="569"/>
      <c r="M8" s="569"/>
      <c r="N8" s="569"/>
      <c r="O8" s="569"/>
      <c r="P8" s="569"/>
      <c r="Q8" s="569"/>
      <c r="R8" s="569"/>
      <c r="S8" s="569"/>
      <c r="T8" s="569"/>
      <c r="U8" s="569"/>
      <c r="V8" s="569"/>
      <c r="W8" s="569"/>
      <c r="X8" s="569"/>
      <c r="Y8" s="569"/>
      <c r="Z8" s="569"/>
      <c r="AA8" s="569"/>
      <c r="AB8" s="569"/>
      <c r="AC8" s="569"/>
      <c r="AD8" s="569"/>
      <c r="AE8" s="569"/>
      <c r="AF8" s="569"/>
      <c r="AG8" s="569"/>
      <c r="AH8" s="569"/>
      <c r="AI8" s="569"/>
      <c r="AJ8" s="569"/>
      <c r="AK8" s="569"/>
      <c r="AL8" s="569"/>
      <c r="AM8" s="569"/>
      <c r="AN8" s="569"/>
      <c r="AO8" s="569"/>
      <c r="AP8" s="569"/>
      <c r="AQ8" s="569"/>
      <c r="AR8" s="569"/>
      <c r="AS8" s="569"/>
      <c r="AT8" s="569"/>
      <c r="AU8" s="569"/>
      <c r="AV8" s="569"/>
      <c r="AW8" s="569"/>
      <c r="AX8" s="569"/>
      <c r="AY8" s="569"/>
      <c r="AZ8" s="569"/>
      <c r="BA8" s="569"/>
      <c r="BB8" s="569"/>
      <c r="BC8" s="569"/>
      <c r="BD8" s="569"/>
      <c r="BE8" s="569"/>
      <c r="BF8" s="569"/>
      <c r="BG8" s="569"/>
      <c r="BH8" s="569"/>
      <c r="BI8" s="569"/>
      <c r="BJ8" s="569"/>
      <c r="BK8" s="569"/>
      <c r="BL8" s="569"/>
      <c r="BM8" s="569"/>
      <c r="BN8" s="569"/>
      <c r="BO8" s="569"/>
      <c r="BP8" s="569"/>
      <c r="BQ8" s="569"/>
      <c r="BR8" s="569"/>
      <c r="BS8" s="569"/>
      <c r="BT8" s="569"/>
      <c r="BU8" s="569"/>
      <c r="BV8" s="569"/>
      <c r="BW8" s="569"/>
      <c r="BX8" s="569"/>
      <c r="BY8" s="569"/>
      <c r="BZ8" s="569"/>
      <c r="CA8" s="569"/>
      <c r="CB8" s="569"/>
      <c r="CC8" s="569"/>
      <c r="CD8" s="569"/>
      <c r="CE8" s="569"/>
      <c r="CF8" s="569"/>
      <c r="CG8" s="569"/>
      <c r="CH8" s="569"/>
      <c r="CI8" s="569"/>
      <c r="CJ8" s="569"/>
      <c r="CK8" s="569"/>
      <c r="CL8" s="569"/>
      <c r="CM8" s="570"/>
      <c r="CN8" s="571" t="s">
        <v>306</v>
      </c>
      <c r="CO8" s="566"/>
      <c r="CP8" s="566"/>
      <c r="CQ8" s="566"/>
      <c r="CR8" s="566"/>
      <c r="CS8" s="566"/>
      <c r="CT8" s="566"/>
      <c r="CU8" s="567"/>
      <c r="CV8" s="572" t="s">
        <v>190</v>
      </c>
      <c r="CW8" s="566"/>
      <c r="CX8" s="566"/>
      <c r="CY8" s="566"/>
      <c r="CZ8" s="566"/>
      <c r="DA8" s="566"/>
      <c r="DB8" s="566"/>
      <c r="DC8" s="566"/>
      <c r="DD8" s="566"/>
      <c r="DE8" s="567"/>
      <c r="DF8" s="573"/>
      <c r="DG8" s="573"/>
      <c r="DH8" s="573"/>
      <c r="DI8" s="573"/>
      <c r="DJ8" s="573"/>
      <c r="DK8" s="573"/>
      <c r="DL8" s="573"/>
      <c r="DM8" s="573"/>
      <c r="DN8" s="573"/>
      <c r="DO8" s="573"/>
      <c r="DP8" s="573"/>
      <c r="DQ8" s="573"/>
      <c r="DR8" s="573"/>
      <c r="DS8" s="574">
        <v>0</v>
      </c>
      <c r="DT8" s="575"/>
      <c r="DU8" s="575"/>
      <c r="DV8" s="575"/>
      <c r="DW8" s="575"/>
      <c r="DX8" s="575"/>
      <c r="DY8" s="575"/>
      <c r="DZ8" s="575"/>
      <c r="EA8" s="575"/>
      <c r="EB8" s="575"/>
      <c r="EC8" s="575"/>
      <c r="ED8" s="575"/>
      <c r="EE8" s="576"/>
      <c r="EF8" s="574">
        <v>0</v>
      </c>
      <c r="EG8" s="575"/>
      <c r="EH8" s="575"/>
      <c r="EI8" s="575"/>
      <c r="EJ8" s="575"/>
      <c r="EK8" s="575"/>
      <c r="EL8" s="575"/>
      <c r="EM8" s="575"/>
      <c r="EN8" s="575"/>
      <c r="EO8" s="575"/>
      <c r="EP8" s="575"/>
      <c r="EQ8" s="575"/>
      <c r="ER8" s="576"/>
      <c r="ES8" s="574">
        <v>0</v>
      </c>
      <c r="ET8" s="575"/>
      <c r="EU8" s="575"/>
      <c r="EV8" s="575"/>
      <c r="EW8" s="575"/>
      <c r="EX8" s="575"/>
      <c r="EY8" s="575"/>
      <c r="EZ8" s="575"/>
      <c r="FA8" s="575"/>
      <c r="FB8" s="575"/>
      <c r="FC8" s="575"/>
      <c r="FD8" s="575"/>
      <c r="FE8" s="576"/>
      <c r="FF8" s="577"/>
      <c r="FG8" s="578"/>
      <c r="FH8" s="578"/>
      <c r="FI8" s="578"/>
      <c r="FJ8" s="578"/>
      <c r="FK8" s="578"/>
      <c r="FL8" s="578"/>
      <c r="FM8" s="578"/>
      <c r="FN8" s="578"/>
      <c r="FO8" s="578"/>
      <c r="FP8" s="578"/>
      <c r="FQ8" s="578"/>
      <c r="FR8" s="579"/>
    </row>
    <row r="9" spans="1:184" ht="24" customHeight="1" x14ac:dyDescent="0.2">
      <c r="A9" s="566" t="s">
        <v>185</v>
      </c>
      <c r="B9" s="566"/>
      <c r="C9" s="566"/>
      <c r="D9" s="566"/>
      <c r="E9" s="566"/>
      <c r="F9" s="566"/>
      <c r="G9" s="566"/>
      <c r="H9" s="567"/>
      <c r="I9" s="568" t="s">
        <v>307</v>
      </c>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c r="AS9" s="569"/>
      <c r="AT9" s="569"/>
      <c r="AU9" s="569"/>
      <c r="AV9" s="569"/>
      <c r="AW9" s="569"/>
      <c r="AX9" s="569"/>
      <c r="AY9" s="569"/>
      <c r="AZ9" s="569"/>
      <c r="BA9" s="569"/>
      <c r="BB9" s="569"/>
      <c r="BC9" s="569"/>
      <c r="BD9" s="569"/>
      <c r="BE9" s="569"/>
      <c r="BF9" s="569"/>
      <c r="BG9" s="569"/>
      <c r="BH9" s="569"/>
      <c r="BI9" s="569"/>
      <c r="BJ9" s="569"/>
      <c r="BK9" s="569"/>
      <c r="BL9" s="569"/>
      <c r="BM9" s="569"/>
      <c r="BN9" s="569"/>
      <c r="BO9" s="569"/>
      <c r="BP9" s="569"/>
      <c r="BQ9" s="569"/>
      <c r="BR9" s="569"/>
      <c r="BS9" s="569"/>
      <c r="BT9" s="569"/>
      <c r="BU9" s="569"/>
      <c r="BV9" s="569"/>
      <c r="BW9" s="569"/>
      <c r="BX9" s="569"/>
      <c r="BY9" s="569"/>
      <c r="BZ9" s="569"/>
      <c r="CA9" s="569"/>
      <c r="CB9" s="569"/>
      <c r="CC9" s="569"/>
      <c r="CD9" s="569"/>
      <c r="CE9" s="569"/>
      <c r="CF9" s="569"/>
      <c r="CG9" s="569"/>
      <c r="CH9" s="569"/>
      <c r="CI9" s="569"/>
      <c r="CJ9" s="569"/>
      <c r="CK9" s="569"/>
      <c r="CL9" s="569"/>
      <c r="CM9" s="570"/>
      <c r="CN9" s="571" t="s">
        <v>308</v>
      </c>
      <c r="CO9" s="566"/>
      <c r="CP9" s="566"/>
      <c r="CQ9" s="566"/>
      <c r="CR9" s="566"/>
      <c r="CS9" s="566"/>
      <c r="CT9" s="566"/>
      <c r="CU9" s="567"/>
      <c r="CV9" s="572" t="s">
        <v>190</v>
      </c>
      <c r="CW9" s="566"/>
      <c r="CX9" s="566"/>
      <c r="CY9" s="566"/>
      <c r="CZ9" s="566"/>
      <c r="DA9" s="566"/>
      <c r="DB9" s="566"/>
      <c r="DC9" s="566"/>
      <c r="DD9" s="566"/>
      <c r="DE9" s="567"/>
      <c r="DF9" s="573"/>
      <c r="DG9" s="573"/>
      <c r="DH9" s="573"/>
      <c r="DI9" s="573"/>
      <c r="DJ9" s="573"/>
      <c r="DK9" s="573"/>
      <c r="DL9" s="573"/>
      <c r="DM9" s="573"/>
      <c r="DN9" s="573"/>
      <c r="DO9" s="573"/>
      <c r="DP9" s="573"/>
      <c r="DQ9" s="573"/>
      <c r="DR9" s="573"/>
      <c r="DS9" s="574">
        <v>0</v>
      </c>
      <c r="DT9" s="575"/>
      <c r="DU9" s="575"/>
      <c r="DV9" s="575"/>
      <c r="DW9" s="575"/>
      <c r="DX9" s="575"/>
      <c r="DY9" s="575"/>
      <c r="DZ9" s="575"/>
      <c r="EA9" s="575"/>
      <c r="EB9" s="575"/>
      <c r="EC9" s="575"/>
      <c r="ED9" s="575"/>
      <c r="EE9" s="576"/>
      <c r="EF9" s="574">
        <v>0</v>
      </c>
      <c r="EG9" s="575"/>
      <c r="EH9" s="575"/>
      <c r="EI9" s="575"/>
      <c r="EJ9" s="575"/>
      <c r="EK9" s="575"/>
      <c r="EL9" s="575"/>
      <c r="EM9" s="575"/>
      <c r="EN9" s="575"/>
      <c r="EO9" s="575"/>
      <c r="EP9" s="575"/>
      <c r="EQ9" s="575"/>
      <c r="ER9" s="576"/>
      <c r="ES9" s="574">
        <v>0</v>
      </c>
      <c r="ET9" s="575"/>
      <c r="EU9" s="575"/>
      <c r="EV9" s="575"/>
      <c r="EW9" s="575"/>
      <c r="EX9" s="575"/>
      <c r="EY9" s="575"/>
      <c r="EZ9" s="575"/>
      <c r="FA9" s="575"/>
      <c r="FB9" s="575"/>
      <c r="FC9" s="575"/>
      <c r="FD9" s="575"/>
      <c r="FE9" s="576"/>
      <c r="FF9" s="577"/>
      <c r="FG9" s="578"/>
      <c r="FH9" s="578"/>
      <c r="FI9" s="578"/>
      <c r="FJ9" s="578"/>
      <c r="FK9" s="578"/>
      <c r="FL9" s="578"/>
      <c r="FM9" s="578"/>
      <c r="FN9" s="578"/>
      <c r="FO9" s="578"/>
      <c r="FP9" s="578"/>
      <c r="FQ9" s="578"/>
      <c r="FR9" s="579"/>
    </row>
    <row r="10" spans="1:184" ht="24" customHeight="1" x14ac:dyDescent="0.2">
      <c r="A10" s="566" t="s">
        <v>186</v>
      </c>
      <c r="B10" s="566"/>
      <c r="C10" s="566"/>
      <c r="D10" s="566"/>
      <c r="E10" s="566"/>
      <c r="F10" s="566"/>
      <c r="G10" s="566"/>
      <c r="H10" s="567"/>
      <c r="I10" s="568" t="s">
        <v>365</v>
      </c>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L10" s="569"/>
      <c r="AM10" s="569"/>
      <c r="AN10" s="569"/>
      <c r="AO10" s="569"/>
      <c r="AP10" s="569"/>
      <c r="AQ10" s="569"/>
      <c r="AR10" s="569"/>
      <c r="AS10" s="569"/>
      <c r="AT10" s="569"/>
      <c r="AU10" s="569"/>
      <c r="AV10" s="569"/>
      <c r="AW10" s="569"/>
      <c r="AX10" s="569"/>
      <c r="AY10" s="569"/>
      <c r="AZ10" s="569"/>
      <c r="BA10" s="569"/>
      <c r="BB10" s="569"/>
      <c r="BC10" s="569"/>
      <c r="BD10" s="569"/>
      <c r="BE10" s="569"/>
      <c r="BF10" s="569"/>
      <c r="BG10" s="569"/>
      <c r="BH10" s="569"/>
      <c r="BI10" s="569"/>
      <c r="BJ10" s="569"/>
      <c r="BK10" s="569"/>
      <c r="BL10" s="569"/>
      <c r="BM10" s="569"/>
      <c r="BN10" s="569"/>
      <c r="BO10" s="569"/>
      <c r="BP10" s="569"/>
      <c r="BQ10" s="569"/>
      <c r="BR10" s="569"/>
      <c r="BS10" s="569"/>
      <c r="BT10" s="569"/>
      <c r="BU10" s="569"/>
      <c r="BV10" s="569"/>
      <c r="BW10" s="569"/>
      <c r="BX10" s="569"/>
      <c r="BY10" s="569"/>
      <c r="BZ10" s="569"/>
      <c r="CA10" s="569"/>
      <c r="CB10" s="569"/>
      <c r="CC10" s="569"/>
      <c r="CD10" s="569"/>
      <c r="CE10" s="569"/>
      <c r="CF10" s="569"/>
      <c r="CG10" s="569"/>
      <c r="CH10" s="569"/>
      <c r="CI10" s="569"/>
      <c r="CJ10" s="569"/>
      <c r="CK10" s="569"/>
      <c r="CL10" s="569"/>
      <c r="CM10" s="570"/>
      <c r="CN10" s="571" t="s">
        <v>309</v>
      </c>
      <c r="CO10" s="566"/>
      <c r="CP10" s="566"/>
      <c r="CQ10" s="566"/>
      <c r="CR10" s="566"/>
      <c r="CS10" s="566"/>
      <c r="CT10" s="566"/>
      <c r="CU10" s="567"/>
      <c r="CV10" s="572" t="s">
        <v>190</v>
      </c>
      <c r="CW10" s="566"/>
      <c r="CX10" s="566"/>
      <c r="CY10" s="566"/>
      <c r="CZ10" s="566"/>
      <c r="DA10" s="566"/>
      <c r="DB10" s="566"/>
      <c r="DC10" s="566"/>
      <c r="DD10" s="566"/>
      <c r="DE10" s="567"/>
      <c r="DF10" s="573" t="s">
        <v>404</v>
      </c>
      <c r="DG10" s="573"/>
      <c r="DH10" s="573"/>
      <c r="DI10" s="573"/>
      <c r="DJ10" s="573"/>
      <c r="DK10" s="573"/>
      <c r="DL10" s="573"/>
      <c r="DM10" s="573"/>
      <c r="DN10" s="573"/>
      <c r="DO10" s="573"/>
      <c r="DP10" s="573"/>
      <c r="DQ10" s="573"/>
      <c r="DR10" s="573"/>
      <c r="DS10" s="574">
        <f>1043774.33+141589.68+17083.68+67743.34+822457.75+161156.52+125436.47+66719.05+51000</f>
        <v>2496960.8199999998</v>
      </c>
      <c r="DT10" s="575"/>
      <c r="DU10" s="575"/>
      <c r="DV10" s="575"/>
      <c r="DW10" s="575"/>
      <c r="DX10" s="575"/>
      <c r="DY10" s="575"/>
      <c r="DZ10" s="575"/>
      <c r="EA10" s="575"/>
      <c r="EB10" s="575"/>
      <c r="EC10" s="575"/>
      <c r="ED10" s="575"/>
      <c r="EE10" s="576"/>
      <c r="EF10" s="574">
        <v>1187201.07</v>
      </c>
      <c r="EG10" s="575"/>
      <c r="EH10" s="575"/>
      <c r="EI10" s="575"/>
      <c r="EJ10" s="575"/>
      <c r="EK10" s="575"/>
      <c r="EL10" s="575"/>
      <c r="EM10" s="575"/>
      <c r="EN10" s="575"/>
      <c r="EO10" s="575"/>
      <c r="EP10" s="575"/>
      <c r="EQ10" s="575"/>
      <c r="ER10" s="576"/>
      <c r="ES10" s="574">
        <v>0</v>
      </c>
      <c r="ET10" s="575"/>
      <c r="EU10" s="575"/>
      <c r="EV10" s="575"/>
      <c r="EW10" s="575"/>
      <c r="EX10" s="575"/>
      <c r="EY10" s="575"/>
      <c r="EZ10" s="575"/>
      <c r="FA10" s="575"/>
      <c r="FB10" s="575"/>
      <c r="FC10" s="575"/>
      <c r="FD10" s="575"/>
      <c r="FE10" s="576"/>
      <c r="FF10" s="577"/>
      <c r="FG10" s="578"/>
      <c r="FH10" s="578"/>
      <c r="FI10" s="578"/>
      <c r="FJ10" s="578"/>
      <c r="FK10" s="578"/>
      <c r="FL10" s="578"/>
      <c r="FM10" s="578"/>
      <c r="FN10" s="578"/>
      <c r="FO10" s="578"/>
      <c r="FP10" s="578"/>
      <c r="FQ10" s="578"/>
      <c r="FR10" s="579"/>
    </row>
    <row r="11" spans="1:184" ht="24" customHeight="1" x14ac:dyDescent="0.2">
      <c r="A11" s="566" t="s">
        <v>373</v>
      </c>
      <c r="B11" s="566"/>
      <c r="C11" s="566"/>
      <c r="D11" s="566"/>
      <c r="E11" s="566"/>
      <c r="F11" s="566"/>
      <c r="G11" s="566"/>
      <c r="H11" s="567"/>
      <c r="I11" s="604" t="s">
        <v>388</v>
      </c>
      <c r="J11" s="605"/>
      <c r="K11" s="605"/>
      <c r="L11" s="605"/>
      <c r="M11" s="605"/>
      <c r="N11" s="605"/>
      <c r="O11" s="605"/>
      <c r="P11" s="605"/>
      <c r="Q11" s="605"/>
      <c r="R11" s="605"/>
      <c r="S11" s="605"/>
      <c r="T11" s="605"/>
      <c r="U11" s="605"/>
      <c r="V11" s="605"/>
      <c r="W11" s="605"/>
      <c r="X11" s="605"/>
      <c r="Y11" s="605"/>
      <c r="Z11" s="605"/>
      <c r="AA11" s="605"/>
      <c r="AB11" s="605"/>
      <c r="AC11" s="605"/>
      <c r="AD11" s="605"/>
      <c r="AE11" s="605"/>
      <c r="AF11" s="605"/>
      <c r="AG11" s="605"/>
      <c r="AH11" s="605"/>
      <c r="AI11" s="605"/>
      <c r="AJ11" s="605"/>
      <c r="AK11" s="605"/>
      <c r="AL11" s="605"/>
      <c r="AM11" s="605"/>
      <c r="AN11" s="605"/>
      <c r="AO11" s="605"/>
      <c r="AP11" s="605"/>
      <c r="AQ11" s="605"/>
      <c r="AR11" s="605"/>
      <c r="AS11" s="605"/>
      <c r="AT11" s="605"/>
      <c r="AU11" s="605"/>
      <c r="AV11" s="605"/>
      <c r="AW11" s="605"/>
      <c r="AX11" s="605"/>
      <c r="AY11" s="605"/>
      <c r="AZ11" s="605"/>
      <c r="BA11" s="605"/>
      <c r="BB11" s="605"/>
      <c r="BC11" s="605"/>
      <c r="BD11" s="605"/>
      <c r="BE11" s="605"/>
      <c r="BF11" s="605"/>
      <c r="BG11" s="605"/>
      <c r="BH11" s="605"/>
      <c r="BI11" s="605"/>
      <c r="BJ11" s="605"/>
      <c r="BK11" s="605"/>
      <c r="BL11" s="605"/>
      <c r="BM11" s="605"/>
      <c r="BN11" s="605"/>
      <c r="BO11" s="605"/>
      <c r="BP11" s="605"/>
      <c r="BQ11" s="605"/>
      <c r="BR11" s="605"/>
      <c r="BS11" s="605"/>
      <c r="BT11" s="605"/>
      <c r="BU11" s="605"/>
      <c r="BV11" s="605"/>
      <c r="BW11" s="605"/>
      <c r="BX11" s="605"/>
      <c r="BY11" s="605"/>
      <c r="BZ11" s="605"/>
      <c r="CA11" s="605"/>
      <c r="CB11" s="605"/>
      <c r="CC11" s="605"/>
      <c r="CD11" s="605"/>
      <c r="CE11" s="605"/>
      <c r="CF11" s="605"/>
      <c r="CG11" s="605"/>
      <c r="CH11" s="605"/>
      <c r="CI11" s="605"/>
      <c r="CJ11" s="605"/>
      <c r="CK11" s="605"/>
      <c r="CL11" s="605"/>
      <c r="CM11" s="606"/>
      <c r="CN11" s="571" t="s">
        <v>374</v>
      </c>
      <c r="CO11" s="566"/>
      <c r="CP11" s="566"/>
      <c r="CQ11" s="566"/>
      <c r="CR11" s="566"/>
      <c r="CS11" s="566"/>
      <c r="CT11" s="566"/>
      <c r="CU11" s="567"/>
      <c r="CV11" s="572" t="s">
        <v>190</v>
      </c>
      <c r="CW11" s="566"/>
      <c r="CX11" s="566"/>
      <c r="CY11" s="566"/>
      <c r="CZ11" s="566"/>
      <c r="DA11" s="566"/>
      <c r="DB11" s="566"/>
      <c r="DC11" s="566"/>
      <c r="DD11" s="566"/>
      <c r="DE11" s="567"/>
      <c r="DF11" s="601" t="s">
        <v>190</v>
      </c>
      <c r="DG11" s="602"/>
      <c r="DH11" s="602"/>
      <c r="DI11" s="602"/>
      <c r="DJ11" s="602"/>
      <c r="DK11" s="602"/>
      <c r="DL11" s="602"/>
      <c r="DM11" s="602"/>
      <c r="DN11" s="602"/>
      <c r="DO11" s="602"/>
      <c r="DP11" s="602"/>
      <c r="DQ11" s="602"/>
      <c r="DR11" s="603"/>
      <c r="DS11" s="574">
        <f>DS10</f>
        <v>2496960.8199999998</v>
      </c>
      <c r="DT11" s="575"/>
      <c r="DU11" s="575"/>
      <c r="DV11" s="575"/>
      <c r="DW11" s="575"/>
      <c r="DX11" s="575"/>
      <c r="DY11" s="575"/>
      <c r="DZ11" s="575"/>
      <c r="EA11" s="575"/>
      <c r="EB11" s="575"/>
      <c r="EC11" s="575"/>
      <c r="ED11" s="575"/>
      <c r="EE11" s="576"/>
      <c r="EF11" s="574">
        <f>EF10</f>
        <v>1187201.07</v>
      </c>
      <c r="EG11" s="575"/>
      <c r="EH11" s="575"/>
      <c r="EI11" s="575"/>
      <c r="EJ11" s="575"/>
      <c r="EK11" s="575"/>
      <c r="EL11" s="575"/>
      <c r="EM11" s="575"/>
      <c r="EN11" s="575"/>
      <c r="EO11" s="575"/>
      <c r="EP11" s="575"/>
      <c r="EQ11" s="575"/>
      <c r="ER11" s="576"/>
      <c r="ES11" s="574">
        <f>ES10</f>
        <v>0</v>
      </c>
      <c r="ET11" s="575"/>
      <c r="EU11" s="575"/>
      <c r="EV11" s="575"/>
      <c r="EW11" s="575"/>
      <c r="EX11" s="575"/>
      <c r="EY11" s="575"/>
      <c r="EZ11" s="575"/>
      <c r="FA11" s="575"/>
      <c r="FB11" s="575"/>
      <c r="FC11" s="575"/>
      <c r="FD11" s="575"/>
      <c r="FE11" s="576"/>
      <c r="FF11" s="441"/>
      <c r="FG11" s="442"/>
      <c r="FH11" s="442"/>
      <c r="FI11" s="442"/>
      <c r="FJ11" s="442"/>
      <c r="FK11" s="442"/>
      <c r="FL11" s="442"/>
      <c r="FM11" s="442"/>
      <c r="FN11" s="442"/>
      <c r="FO11" s="442"/>
      <c r="FP11" s="442"/>
      <c r="FQ11" s="442"/>
      <c r="FR11" s="443"/>
    </row>
    <row r="12" spans="1:184" ht="12.75" customHeight="1" x14ac:dyDescent="0.2">
      <c r="A12" s="438"/>
      <c r="B12" s="438"/>
      <c r="C12" s="438"/>
      <c r="D12" s="438"/>
      <c r="E12" s="438"/>
      <c r="F12" s="438"/>
      <c r="G12" s="438"/>
      <c r="H12" s="439"/>
      <c r="I12" s="598" t="s">
        <v>375</v>
      </c>
      <c r="J12" s="599"/>
      <c r="K12" s="599"/>
      <c r="L12" s="599"/>
      <c r="M12" s="599"/>
      <c r="N12" s="599"/>
      <c r="O12" s="599"/>
      <c r="P12" s="599"/>
      <c r="Q12" s="599"/>
      <c r="R12" s="599"/>
      <c r="S12" s="599"/>
      <c r="T12" s="599"/>
      <c r="U12" s="599"/>
      <c r="V12" s="599"/>
      <c r="W12" s="599"/>
      <c r="X12" s="599"/>
      <c r="Y12" s="599"/>
      <c r="Z12" s="599"/>
      <c r="AA12" s="599"/>
      <c r="AB12" s="599"/>
      <c r="AC12" s="599"/>
      <c r="AD12" s="599"/>
      <c r="AE12" s="599"/>
      <c r="AF12" s="599"/>
      <c r="AG12" s="599"/>
      <c r="AH12" s="599"/>
      <c r="AI12" s="599"/>
      <c r="AJ12" s="599"/>
      <c r="AK12" s="599"/>
      <c r="AL12" s="599"/>
      <c r="AM12" s="599"/>
      <c r="AN12" s="599"/>
      <c r="AO12" s="599"/>
      <c r="AP12" s="599"/>
      <c r="AQ12" s="599"/>
      <c r="AR12" s="599"/>
      <c r="AS12" s="599"/>
      <c r="AT12" s="599"/>
      <c r="AU12" s="599"/>
      <c r="AV12" s="599"/>
      <c r="AW12" s="599"/>
      <c r="AX12" s="599"/>
      <c r="AY12" s="599"/>
      <c r="AZ12" s="599"/>
      <c r="BA12" s="599"/>
      <c r="BB12" s="599"/>
      <c r="BC12" s="599"/>
      <c r="BD12" s="599"/>
      <c r="BE12" s="599"/>
      <c r="BF12" s="599"/>
      <c r="BG12" s="599"/>
      <c r="BH12" s="599"/>
      <c r="BI12" s="599"/>
      <c r="BJ12" s="599"/>
      <c r="BK12" s="599"/>
      <c r="BL12" s="599"/>
      <c r="BM12" s="599"/>
      <c r="BN12" s="599"/>
      <c r="BO12" s="599"/>
      <c r="BP12" s="599"/>
      <c r="BQ12" s="599"/>
      <c r="BR12" s="599"/>
      <c r="BS12" s="599"/>
      <c r="BT12" s="599"/>
      <c r="BU12" s="599"/>
      <c r="BV12" s="599"/>
      <c r="BW12" s="599"/>
      <c r="BX12" s="599"/>
      <c r="BY12" s="599"/>
      <c r="BZ12" s="599"/>
      <c r="CA12" s="599"/>
      <c r="CB12" s="599"/>
      <c r="CC12" s="599"/>
      <c r="CD12" s="599"/>
      <c r="CE12" s="599"/>
      <c r="CF12" s="599"/>
      <c r="CG12" s="599"/>
      <c r="CH12" s="599"/>
      <c r="CI12" s="599"/>
      <c r="CJ12" s="599"/>
      <c r="CK12" s="599"/>
      <c r="CL12" s="599"/>
      <c r="CM12" s="600"/>
      <c r="CN12" s="571" t="s">
        <v>376</v>
      </c>
      <c r="CO12" s="566"/>
      <c r="CP12" s="566"/>
      <c r="CQ12" s="566"/>
      <c r="CR12" s="566"/>
      <c r="CS12" s="566"/>
      <c r="CT12" s="566"/>
      <c r="CU12" s="567"/>
      <c r="CV12" s="440"/>
      <c r="CW12" s="438"/>
      <c r="CX12" s="438"/>
      <c r="CY12" s="438"/>
      <c r="CZ12" s="438"/>
      <c r="DA12" s="438"/>
      <c r="DB12" s="438"/>
      <c r="DC12" s="438"/>
      <c r="DD12" s="438"/>
      <c r="DE12" s="439"/>
      <c r="DF12" s="601"/>
      <c r="DG12" s="602"/>
      <c r="DH12" s="602"/>
      <c r="DI12" s="602"/>
      <c r="DJ12" s="602"/>
      <c r="DK12" s="602"/>
      <c r="DL12" s="602"/>
      <c r="DM12" s="602"/>
      <c r="DN12" s="602"/>
      <c r="DO12" s="602"/>
      <c r="DP12" s="602"/>
      <c r="DQ12" s="602"/>
      <c r="DR12" s="603"/>
      <c r="DS12" s="601"/>
      <c r="DT12" s="602"/>
      <c r="DU12" s="602"/>
      <c r="DV12" s="602"/>
      <c r="DW12" s="602"/>
      <c r="DX12" s="602"/>
      <c r="DY12" s="602"/>
      <c r="DZ12" s="602"/>
      <c r="EA12" s="602"/>
      <c r="EB12" s="602"/>
      <c r="EC12" s="602"/>
      <c r="ED12" s="602"/>
      <c r="EE12" s="603"/>
      <c r="EF12" s="601"/>
      <c r="EG12" s="602"/>
      <c r="EH12" s="602"/>
      <c r="EI12" s="602"/>
      <c r="EJ12" s="602"/>
      <c r="EK12" s="602"/>
      <c r="EL12" s="602"/>
      <c r="EM12" s="602"/>
      <c r="EN12" s="602"/>
      <c r="EO12" s="602"/>
      <c r="EP12" s="602"/>
      <c r="EQ12" s="602"/>
      <c r="ER12" s="603"/>
      <c r="ES12" s="601"/>
      <c r="ET12" s="602"/>
      <c r="EU12" s="602"/>
      <c r="EV12" s="602"/>
      <c r="EW12" s="602"/>
      <c r="EX12" s="602"/>
      <c r="EY12" s="602"/>
      <c r="EZ12" s="602"/>
      <c r="FA12" s="602"/>
      <c r="FB12" s="602"/>
      <c r="FC12" s="602"/>
      <c r="FD12" s="602"/>
      <c r="FE12" s="603"/>
      <c r="FF12" s="441"/>
      <c r="FG12" s="442"/>
      <c r="FH12" s="442"/>
      <c r="FI12" s="442"/>
      <c r="FJ12" s="442"/>
      <c r="FK12" s="442"/>
      <c r="FL12" s="442"/>
      <c r="FM12" s="442"/>
      <c r="FN12" s="442"/>
      <c r="FO12" s="442"/>
      <c r="FP12" s="442"/>
      <c r="FQ12" s="442"/>
      <c r="FR12" s="443"/>
    </row>
    <row r="13" spans="1:184" ht="13.5" customHeight="1" x14ac:dyDescent="0.2">
      <c r="A13" s="566" t="s">
        <v>377</v>
      </c>
      <c r="B13" s="566"/>
      <c r="C13" s="566"/>
      <c r="D13" s="566"/>
      <c r="E13" s="566"/>
      <c r="F13" s="566"/>
      <c r="G13" s="566"/>
      <c r="H13" s="567"/>
      <c r="I13" s="444" t="s">
        <v>378</v>
      </c>
      <c r="J13" s="381"/>
      <c r="K13" s="381" t="s">
        <v>341</v>
      </c>
      <c r="L13" s="381"/>
      <c r="M13" s="381"/>
      <c r="N13" s="381"/>
      <c r="O13" s="381"/>
      <c r="P13" s="381"/>
      <c r="Q13" s="381"/>
      <c r="R13" s="381"/>
      <c r="S13" s="381"/>
      <c r="T13" s="381"/>
      <c r="U13" s="381"/>
      <c r="V13" s="381"/>
      <c r="W13" s="381"/>
      <c r="X13" s="381"/>
      <c r="Y13" s="381"/>
      <c r="Z13" s="381"/>
      <c r="AA13" s="381"/>
      <c r="AB13" s="381"/>
      <c r="AC13" s="381"/>
      <c r="AD13" s="381"/>
      <c r="AE13" s="381"/>
      <c r="AF13" s="381"/>
      <c r="AG13" s="381"/>
      <c r="AH13" s="381"/>
      <c r="AI13" s="381"/>
      <c r="AJ13" s="381"/>
      <c r="AK13" s="381"/>
      <c r="AL13" s="381"/>
      <c r="AM13" s="381"/>
      <c r="AN13" s="381"/>
      <c r="AO13" s="381"/>
      <c r="AP13" s="381"/>
      <c r="AQ13" s="381"/>
      <c r="AR13" s="381"/>
      <c r="AS13" s="381"/>
      <c r="AT13" s="381"/>
      <c r="AU13" s="381"/>
      <c r="AV13" s="381"/>
      <c r="AW13" s="381"/>
      <c r="AX13" s="381"/>
      <c r="AY13" s="381"/>
      <c r="AZ13" s="381"/>
      <c r="BA13" s="381"/>
      <c r="BB13" s="381"/>
      <c r="BC13" s="381"/>
      <c r="BD13" s="381"/>
      <c r="BE13" s="381"/>
      <c r="BF13" s="381"/>
      <c r="BG13" s="381"/>
      <c r="BH13" s="381"/>
      <c r="BI13" s="381"/>
      <c r="BJ13" s="381"/>
      <c r="BK13" s="381"/>
      <c r="BL13" s="381"/>
      <c r="BM13" s="381"/>
      <c r="BN13" s="381"/>
      <c r="BO13" s="381"/>
      <c r="BP13" s="381"/>
      <c r="BQ13" s="381"/>
      <c r="BR13" s="381"/>
      <c r="BS13" s="381"/>
      <c r="BT13" s="381"/>
      <c r="BU13" s="381"/>
      <c r="BV13" s="381"/>
      <c r="BW13" s="381"/>
      <c r="BX13" s="381"/>
      <c r="BY13" s="381"/>
      <c r="BZ13" s="381"/>
      <c r="CA13" s="381"/>
      <c r="CB13" s="381"/>
      <c r="CC13" s="381"/>
      <c r="CD13" s="381"/>
      <c r="CE13" s="381"/>
      <c r="CF13" s="381"/>
      <c r="CG13" s="381"/>
      <c r="CH13" s="381"/>
      <c r="CI13" s="381"/>
      <c r="CJ13" s="381"/>
      <c r="CK13" s="381"/>
      <c r="CL13" s="381"/>
      <c r="CM13" s="381"/>
      <c r="CN13" s="571" t="s">
        <v>379</v>
      </c>
      <c r="CO13" s="566"/>
      <c r="CP13" s="566"/>
      <c r="CQ13" s="566"/>
      <c r="CR13" s="566"/>
      <c r="CS13" s="566"/>
      <c r="CT13" s="566"/>
      <c r="CU13" s="567"/>
      <c r="CV13" s="572" t="s">
        <v>190</v>
      </c>
      <c r="CW13" s="566"/>
      <c r="CX13" s="566"/>
      <c r="CY13" s="566"/>
      <c r="CZ13" s="566"/>
      <c r="DA13" s="566"/>
      <c r="DB13" s="566"/>
      <c r="DC13" s="566"/>
      <c r="DD13" s="566"/>
      <c r="DE13" s="567"/>
      <c r="DF13" s="601" t="s">
        <v>190</v>
      </c>
      <c r="DG13" s="602"/>
      <c r="DH13" s="602"/>
      <c r="DI13" s="602"/>
      <c r="DJ13" s="602"/>
      <c r="DK13" s="602"/>
      <c r="DL13" s="602"/>
      <c r="DM13" s="602"/>
      <c r="DN13" s="602"/>
      <c r="DO13" s="602"/>
      <c r="DP13" s="602"/>
      <c r="DQ13" s="602"/>
      <c r="DR13" s="603"/>
      <c r="DS13" s="601"/>
      <c r="DT13" s="602"/>
      <c r="DU13" s="602"/>
      <c r="DV13" s="602"/>
      <c r="DW13" s="602"/>
      <c r="DX13" s="602"/>
      <c r="DY13" s="602"/>
      <c r="DZ13" s="602"/>
      <c r="EA13" s="602"/>
      <c r="EB13" s="602"/>
      <c r="EC13" s="602"/>
      <c r="ED13" s="602"/>
      <c r="EE13" s="603"/>
      <c r="EF13" s="601"/>
      <c r="EG13" s="602"/>
      <c r="EH13" s="602"/>
      <c r="EI13" s="602"/>
      <c r="EJ13" s="602"/>
      <c r="EK13" s="602"/>
      <c r="EL13" s="602"/>
      <c r="EM13" s="602"/>
      <c r="EN13" s="602"/>
      <c r="EO13" s="602"/>
      <c r="EP13" s="602"/>
      <c r="EQ13" s="602"/>
      <c r="ER13" s="603"/>
      <c r="ES13" s="601"/>
      <c r="ET13" s="602"/>
      <c r="EU13" s="602"/>
      <c r="EV13" s="602"/>
      <c r="EW13" s="602"/>
      <c r="EX13" s="602"/>
      <c r="EY13" s="602"/>
      <c r="EZ13" s="602"/>
      <c r="FA13" s="602"/>
      <c r="FB13" s="602"/>
      <c r="FC13" s="602"/>
      <c r="FD13" s="602"/>
      <c r="FE13" s="603"/>
      <c r="FF13" s="441"/>
      <c r="FG13" s="442"/>
      <c r="FH13" s="442"/>
      <c r="FI13" s="442"/>
      <c r="FJ13" s="442"/>
      <c r="FK13" s="442"/>
      <c r="FL13" s="442"/>
      <c r="FM13" s="442"/>
      <c r="FN13" s="442"/>
      <c r="FO13" s="442"/>
      <c r="FP13" s="442"/>
      <c r="FQ13" s="442"/>
      <c r="FR13" s="443"/>
    </row>
    <row r="14" spans="1:184" ht="24" customHeight="1" x14ac:dyDescent="0.2">
      <c r="A14" s="566" t="s">
        <v>310</v>
      </c>
      <c r="B14" s="566"/>
      <c r="C14" s="566"/>
      <c r="D14" s="566"/>
      <c r="E14" s="566"/>
      <c r="F14" s="566"/>
      <c r="G14" s="566"/>
      <c r="H14" s="567"/>
      <c r="I14" s="568" t="s">
        <v>366</v>
      </c>
      <c r="J14" s="569"/>
      <c r="K14" s="569"/>
      <c r="L14" s="569"/>
      <c r="M14" s="569"/>
      <c r="N14" s="569"/>
      <c r="O14" s="569"/>
      <c r="P14" s="569"/>
      <c r="Q14" s="569"/>
      <c r="R14" s="569"/>
      <c r="S14" s="569"/>
      <c r="T14" s="569"/>
      <c r="U14" s="569"/>
      <c r="V14" s="569"/>
      <c r="W14" s="569"/>
      <c r="X14" s="569"/>
      <c r="Y14" s="569"/>
      <c r="Z14" s="569"/>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569"/>
      <c r="AW14" s="569"/>
      <c r="AX14" s="569"/>
      <c r="AY14" s="569"/>
      <c r="AZ14" s="569"/>
      <c r="BA14" s="569"/>
      <c r="BB14" s="569"/>
      <c r="BC14" s="569"/>
      <c r="BD14" s="569"/>
      <c r="BE14" s="569"/>
      <c r="BF14" s="569"/>
      <c r="BG14" s="569"/>
      <c r="BH14" s="569"/>
      <c r="BI14" s="569"/>
      <c r="BJ14" s="569"/>
      <c r="BK14" s="569"/>
      <c r="BL14" s="569"/>
      <c r="BM14" s="569"/>
      <c r="BN14" s="569"/>
      <c r="BO14" s="569"/>
      <c r="BP14" s="569"/>
      <c r="BQ14" s="569"/>
      <c r="BR14" s="569"/>
      <c r="BS14" s="569"/>
      <c r="BT14" s="569"/>
      <c r="BU14" s="569"/>
      <c r="BV14" s="569"/>
      <c r="BW14" s="569"/>
      <c r="BX14" s="569"/>
      <c r="BY14" s="569"/>
      <c r="BZ14" s="569"/>
      <c r="CA14" s="569"/>
      <c r="CB14" s="569"/>
      <c r="CC14" s="569"/>
      <c r="CD14" s="569"/>
      <c r="CE14" s="569"/>
      <c r="CF14" s="569"/>
      <c r="CG14" s="569"/>
      <c r="CH14" s="569"/>
      <c r="CI14" s="569"/>
      <c r="CJ14" s="569"/>
      <c r="CK14" s="569"/>
      <c r="CL14" s="569"/>
      <c r="CM14" s="570"/>
      <c r="CN14" s="571" t="s">
        <v>311</v>
      </c>
      <c r="CO14" s="566"/>
      <c r="CP14" s="566"/>
      <c r="CQ14" s="566"/>
      <c r="CR14" s="566"/>
      <c r="CS14" s="566"/>
      <c r="CT14" s="566"/>
      <c r="CU14" s="567"/>
      <c r="CV14" s="572" t="s">
        <v>190</v>
      </c>
      <c r="CW14" s="566"/>
      <c r="CX14" s="566"/>
      <c r="CY14" s="566"/>
      <c r="CZ14" s="566"/>
      <c r="DA14" s="566"/>
      <c r="DB14" s="566"/>
      <c r="DC14" s="566"/>
      <c r="DD14" s="566"/>
      <c r="DE14" s="567"/>
      <c r="DF14" s="607" t="s">
        <v>404</v>
      </c>
      <c r="DG14" s="608"/>
      <c r="DH14" s="608"/>
      <c r="DI14" s="608"/>
      <c r="DJ14" s="608"/>
      <c r="DK14" s="608"/>
      <c r="DL14" s="608"/>
      <c r="DM14" s="608"/>
      <c r="DN14" s="608"/>
      <c r="DO14" s="608"/>
      <c r="DP14" s="608"/>
      <c r="DQ14" s="608"/>
      <c r="DR14" s="609"/>
      <c r="DS14" s="574">
        <f>SUM(DS15,DS18,DS27,DS17,DS36)</f>
        <v>11459491.73</v>
      </c>
      <c r="DT14" s="575"/>
      <c r="DU14" s="575"/>
      <c r="DV14" s="575"/>
      <c r="DW14" s="575"/>
      <c r="DX14" s="575"/>
      <c r="DY14" s="575"/>
      <c r="DZ14" s="575"/>
      <c r="EA14" s="575"/>
      <c r="EB14" s="575"/>
      <c r="EC14" s="575"/>
      <c r="ED14" s="575"/>
      <c r="EE14" s="576"/>
      <c r="EF14" s="574">
        <f>SUM(EF15,EF18,EF27,EF17,EF39)</f>
        <v>10533128.5</v>
      </c>
      <c r="EG14" s="575"/>
      <c r="EH14" s="575"/>
      <c r="EI14" s="575"/>
      <c r="EJ14" s="575"/>
      <c r="EK14" s="575"/>
      <c r="EL14" s="575"/>
      <c r="EM14" s="575"/>
      <c r="EN14" s="575"/>
      <c r="EO14" s="575"/>
      <c r="EP14" s="575"/>
      <c r="EQ14" s="575"/>
      <c r="ER14" s="576"/>
      <c r="ES14" s="574">
        <f>SUM(ES15,ES18,ES27,ES17,ES40)</f>
        <v>10940028.800000001</v>
      </c>
      <c r="ET14" s="575"/>
      <c r="EU14" s="575"/>
      <c r="EV14" s="575"/>
      <c r="EW14" s="575"/>
      <c r="EX14" s="575"/>
      <c r="EY14" s="575"/>
      <c r="EZ14" s="575"/>
      <c r="FA14" s="575"/>
      <c r="FB14" s="575"/>
      <c r="FC14" s="575"/>
      <c r="FD14" s="575"/>
      <c r="FE14" s="576"/>
      <c r="FF14" s="577"/>
      <c r="FG14" s="578"/>
      <c r="FH14" s="578"/>
      <c r="FI14" s="578"/>
      <c r="FJ14" s="578"/>
      <c r="FK14" s="578"/>
      <c r="FL14" s="578"/>
      <c r="FM14" s="578"/>
      <c r="FN14" s="578"/>
      <c r="FO14" s="578"/>
      <c r="FP14" s="578"/>
      <c r="FQ14" s="578"/>
      <c r="FR14" s="579"/>
    </row>
    <row r="15" spans="1:184" ht="34.5" customHeight="1" x14ac:dyDescent="0.2">
      <c r="A15" s="566" t="s">
        <v>312</v>
      </c>
      <c r="B15" s="566"/>
      <c r="C15" s="566"/>
      <c r="D15" s="566"/>
      <c r="E15" s="566"/>
      <c r="F15" s="566"/>
      <c r="G15" s="566"/>
      <c r="H15" s="567"/>
      <c r="I15" s="610" t="s">
        <v>405</v>
      </c>
      <c r="J15" s="611"/>
      <c r="K15" s="611"/>
      <c r="L15" s="611"/>
      <c r="M15" s="611"/>
      <c r="N15" s="611"/>
      <c r="O15" s="611"/>
      <c r="P15" s="611"/>
      <c r="Q15" s="611"/>
      <c r="R15" s="611"/>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c r="AY15" s="611"/>
      <c r="AZ15" s="611"/>
      <c r="BA15" s="611"/>
      <c r="BB15" s="611"/>
      <c r="BC15" s="611"/>
      <c r="BD15" s="611"/>
      <c r="BE15" s="611"/>
      <c r="BF15" s="611"/>
      <c r="BG15" s="611"/>
      <c r="BH15" s="611"/>
      <c r="BI15" s="611"/>
      <c r="BJ15" s="611"/>
      <c r="BK15" s="611"/>
      <c r="BL15" s="611"/>
      <c r="BM15" s="611"/>
      <c r="BN15" s="611"/>
      <c r="BO15" s="611"/>
      <c r="BP15" s="611"/>
      <c r="BQ15" s="611"/>
      <c r="BR15" s="611"/>
      <c r="BS15" s="611"/>
      <c r="BT15" s="611"/>
      <c r="BU15" s="611"/>
      <c r="BV15" s="611"/>
      <c r="BW15" s="611"/>
      <c r="BX15" s="611"/>
      <c r="BY15" s="611"/>
      <c r="BZ15" s="611"/>
      <c r="CA15" s="611"/>
      <c r="CB15" s="611"/>
      <c r="CC15" s="611"/>
      <c r="CD15" s="611"/>
      <c r="CE15" s="611"/>
      <c r="CF15" s="611"/>
      <c r="CG15" s="611"/>
      <c r="CH15" s="611"/>
      <c r="CI15" s="611"/>
      <c r="CJ15" s="611"/>
      <c r="CK15" s="611"/>
      <c r="CL15" s="611"/>
      <c r="CM15" s="612"/>
      <c r="CN15" s="571" t="s">
        <v>313</v>
      </c>
      <c r="CO15" s="566"/>
      <c r="CP15" s="566"/>
      <c r="CQ15" s="566"/>
      <c r="CR15" s="566"/>
      <c r="CS15" s="566"/>
      <c r="CT15" s="566"/>
      <c r="CU15" s="567"/>
      <c r="CV15" s="572" t="s">
        <v>190</v>
      </c>
      <c r="CW15" s="566"/>
      <c r="CX15" s="566"/>
      <c r="CY15" s="566"/>
      <c r="CZ15" s="566"/>
      <c r="DA15" s="566"/>
      <c r="DB15" s="566"/>
      <c r="DC15" s="566"/>
      <c r="DD15" s="566"/>
      <c r="DE15" s="567"/>
      <c r="DF15" s="601" t="s">
        <v>404</v>
      </c>
      <c r="DG15" s="602"/>
      <c r="DH15" s="602"/>
      <c r="DI15" s="602"/>
      <c r="DJ15" s="602"/>
      <c r="DK15" s="602"/>
      <c r="DL15" s="602"/>
      <c r="DM15" s="602"/>
      <c r="DN15" s="602"/>
      <c r="DO15" s="602"/>
      <c r="DP15" s="602"/>
      <c r="DQ15" s="602"/>
      <c r="DR15" s="603"/>
      <c r="DS15" s="574">
        <v>4361489.01</v>
      </c>
      <c r="DT15" s="575"/>
      <c r="DU15" s="575"/>
      <c r="DV15" s="575"/>
      <c r="DW15" s="575"/>
      <c r="DX15" s="575"/>
      <c r="DY15" s="575"/>
      <c r="DZ15" s="575"/>
      <c r="EA15" s="575"/>
      <c r="EB15" s="575"/>
      <c r="EC15" s="575"/>
      <c r="ED15" s="575"/>
      <c r="EE15" s="576"/>
      <c r="EF15" s="574">
        <v>4210917.49</v>
      </c>
      <c r="EG15" s="575"/>
      <c r="EH15" s="575"/>
      <c r="EI15" s="575"/>
      <c r="EJ15" s="575"/>
      <c r="EK15" s="575"/>
      <c r="EL15" s="575"/>
      <c r="EM15" s="575"/>
      <c r="EN15" s="575"/>
      <c r="EO15" s="575"/>
      <c r="EP15" s="575"/>
      <c r="EQ15" s="575"/>
      <c r="ER15" s="576"/>
      <c r="ES15" s="574">
        <v>4076800</v>
      </c>
      <c r="ET15" s="575"/>
      <c r="EU15" s="575"/>
      <c r="EV15" s="575"/>
      <c r="EW15" s="575"/>
      <c r="EX15" s="575"/>
      <c r="EY15" s="575"/>
      <c r="EZ15" s="575"/>
      <c r="FA15" s="575"/>
      <c r="FB15" s="575"/>
      <c r="FC15" s="575"/>
      <c r="FD15" s="575"/>
      <c r="FE15" s="576"/>
      <c r="FF15" s="577"/>
      <c r="FG15" s="578"/>
      <c r="FH15" s="578"/>
      <c r="FI15" s="578"/>
      <c r="FJ15" s="578"/>
      <c r="FK15" s="578"/>
      <c r="FL15" s="578"/>
      <c r="FM15" s="578"/>
      <c r="FN15" s="578"/>
      <c r="FO15" s="578"/>
      <c r="FP15" s="578"/>
      <c r="FQ15" s="578"/>
      <c r="FR15" s="579"/>
    </row>
    <row r="16" spans="1:184" ht="24" customHeight="1" x14ac:dyDescent="0.2">
      <c r="A16" s="566" t="s">
        <v>314</v>
      </c>
      <c r="B16" s="566"/>
      <c r="C16" s="566"/>
      <c r="D16" s="566"/>
      <c r="E16" s="566"/>
      <c r="F16" s="566"/>
      <c r="G16" s="566"/>
      <c r="H16" s="567"/>
      <c r="I16" s="613" t="s">
        <v>315</v>
      </c>
      <c r="J16" s="614"/>
      <c r="K16" s="614"/>
      <c r="L16" s="614"/>
      <c r="M16" s="614"/>
      <c r="N16" s="614"/>
      <c r="O16" s="614"/>
      <c r="P16" s="614"/>
      <c r="Q16" s="614"/>
      <c r="R16" s="614"/>
      <c r="S16" s="614"/>
      <c r="T16" s="614"/>
      <c r="U16" s="614"/>
      <c r="V16" s="614"/>
      <c r="W16" s="614"/>
      <c r="X16" s="614"/>
      <c r="Y16" s="614"/>
      <c r="Z16" s="614"/>
      <c r="AA16" s="614"/>
      <c r="AB16" s="614"/>
      <c r="AC16" s="614"/>
      <c r="AD16" s="614"/>
      <c r="AE16" s="614"/>
      <c r="AF16" s="614"/>
      <c r="AG16" s="614"/>
      <c r="AH16" s="614"/>
      <c r="AI16" s="614"/>
      <c r="AJ16" s="614"/>
      <c r="AK16" s="614"/>
      <c r="AL16" s="614"/>
      <c r="AM16" s="614"/>
      <c r="AN16" s="614"/>
      <c r="AO16" s="614"/>
      <c r="AP16" s="614"/>
      <c r="AQ16" s="614"/>
      <c r="AR16" s="614"/>
      <c r="AS16" s="614"/>
      <c r="AT16" s="614"/>
      <c r="AU16" s="614"/>
      <c r="AV16" s="614"/>
      <c r="AW16" s="614"/>
      <c r="AX16" s="614"/>
      <c r="AY16" s="614"/>
      <c r="AZ16" s="614"/>
      <c r="BA16" s="614"/>
      <c r="BB16" s="614"/>
      <c r="BC16" s="614"/>
      <c r="BD16" s="614"/>
      <c r="BE16" s="614"/>
      <c r="BF16" s="614"/>
      <c r="BG16" s="614"/>
      <c r="BH16" s="614"/>
      <c r="BI16" s="614"/>
      <c r="BJ16" s="614"/>
      <c r="BK16" s="614"/>
      <c r="BL16" s="614"/>
      <c r="BM16" s="614"/>
      <c r="BN16" s="614"/>
      <c r="BO16" s="614"/>
      <c r="BP16" s="614"/>
      <c r="BQ16" s="614"/>
      <c r="BR16" s="614"/>
      <c r="BS16" s="614"/>
      <c r="BT16" s="614"/>
      <c r="BU16" s="614"/>
      <c r="BV16" s="614"/>
      <c r="BW16" s="614"/>
      <c r="BX16" s="614"/>
      <c r="BY16" s="614"/>
      <c r="BZ16" s="614"/>
      <c r="CA16" s="614"/>
      <c r="CB16" s="614"/>
      <c r="CC16" s="614"/>
      <c r="CD16" s="614"/>
      <c r="CE16" s="614"/>
      <c r="CF16" s="614"/>
      <c r="CG16" s="614"/>
      <c r="CH16" s="614"/>
      <c r="CI16" s="614"/>
      <c r="CJ16" s="614"/>
      <c r="CK16" s="614"/>
      <c r="CL16" s="614"/>
      <c r="CM16" s="615"/>
      <c r="CN16" s="571" t="s">
        <v>316</v>
      </c>
      <c r="CO16" s="566"/>
      <c r="CP16" s="566"/>
      <c r="CQ16" s="566"/>
      <c r="CR16" s="566"/>
      <c r="CS16" s="566"/>
      <c r="CT16" s="566"/>
      <c r="CU16" s="567"/>
      <c r="CV16" s="572" t="s">
        <v>190</v>
      </c>
      <c r="CW16" s="566"/>
      <c r="CX16" s="566"/>
      <c r="CY16" s="566"/>
      <c r="CZ16" s="566"/>
      <c r="DA16" s="566"/>
      <c r="DB16" s="566"/>
      <c r="DC16" s="566"/>
      <c r="DD16" s="566"/>
      <c r="DE16" s="567"/>
      <c r="DF16" s="601" t="s">
        <v>404</v>
      </c>
      <c r="DG16" s="602"/>
      <c r="DH16" s="602"/>
      <c r="DI16" s="602"/>
      <c r="DJ16" s="602"/>
      <c r="DK16" s="602"/>
      <c r="DL16" s="602"/>
      <c r="DM16" s="602"/>
      <c r="DN16" s="602"/>
      <c r="DO16" s="602"/>
      <c r="DP16" s="602"/>
      <c r="DQ16" s="602"/>
      <c r="DR16" s="603"/>
      <c r="DS16" s="574">
        <f>DS15</f>
        <v>4361489.01</v>
      </c>
      <c r="DT16" s="575"/>
      <c r="DU16" s="575"/>
      <c r="DV16" s="575"/>
      <c r="DW16" s="575"/>
      <c r="DX16" s="575"/>
      <c r="DY16" s="575"/>
      <c r="DZ16" s="575"/>
      <c r="EA16" s="575"/>
      <c r="EB16" s="575"/>
      <c r="EC16" s="575"/>
      <c r="ED16" s="575"/>
      <c r="EE16" s="576"/>
      <c r="EF16" s="574">
        <f>EF15</f>
        <v>4210917.49</v>
      </c>
      <c r="EG16" s="575"/>
      <c r="EH16" s="575"/>
      <c r="EI16" s="575"/>
      <c r="EJ16" s="575"/>
      <c r="EK16" s="575"/>
      <c r="EL16" s="575"/>
      <c r="EM16" s="575"/>
      <c r="EN16" s="575"/>
      <c r="EO16" s="575"/>
      <c r="EP16" s="575"/>
      <c r="EQ16" s="575"/>
      <c r="ER16" s="576"/>
      <c r="ES16" s="574">
        <f>ES15</f>
        <v>4076800</v>
      </c>
      <c r="ET16" s="575"/>
      <c r="EU16" s="575"/>
      <c r="EV16" s="575"/>
      <c r="EW16" s="575"/>
      <c r="EX16" s="575"/>
      <c r="EY16" s="575"/>
      <c r="EZ16" s="575"/>
      <c r="FA16" s="575"/>
      <c r="FB16" s="575"/>
      <c r="FC16" s="575"/>
      <c r="FD16" s="575"/>
      <c r="FE16" s="576"/>
      <c r="FF16" s="577"/>
      <c r="FG16" s="578"/>
      <c r="FH16" s="578"/>
      <c r="FI16" s="578"/>
      <c r="FJ16" s="578"/>
      <c r="FK16" s="578"/>
      <c r="FL16" s="578"/>
      <c r="FM16" s="578"/>
      <c r="FN16" s="578"/>
      <c r="FO16" s="578"/>
      <c r="FP16" s="578"/>
      <c r="FQ16" s="578"/>
      <c r="FR16" s="579"/>
    </row>
    <row r="17" spans="1:174" ht="12" customHeight="1" x14ac:dyDescent="0.2">
      <c r="A17" s="566" t="s">
        <v>317</v>
      </c>
      <c r="B17" s="566"/>
      <c r="C17" s="566"/>
      <c r="D17" s="566"/>
      <c r="E17" s="566"/>
      <c r="F17" s="566"/>
      <c r="G17" s="566"/>
      <c r="H17" s="567"/>
      <c r="I17" s="613" t="s">
        <v>367</v>
      </c>
      <c r="J17" s="614"/>
      <c r="K17" s="614"/>
      <c r="L17" s="614"/>
      <c r="M17" s="614"/>
      <c r="N17" s="614"/>
      <c r="O17" s="614"/>
      <c r="P17" s="614"/>
      <c r="Q17" s="614"/>
      <c r="R17" s="614"/>
      <c r="S17" s="614"/>
      <c r="T17" s="614"/>
      <c r="U17" s="614"/>
      <c r="V17" s="614"/>
      <c r="W17" s="614"/>
      <c r="X17" s="614"/>
      <c r="Y17" s="614"/>
      <c r="Z17" s="614"/>
      <c r="AA17" s="614"/>
      <c r="AB17" s="614"/>
      <c r="AC17" s="614"/>
      <c r="AD17" s="614"/>
      <c r="AE17" s="614"/>
      <c r="AF17" s="614"/>
      <c r="AG17" s="614"/>
      <c r="AH17" s="614"/>
      <c r="AI17" s="614"/>
      <c r="AJ17" s="614"/>
      <c r="AK17" s="614"/>
      <c r="AL17" s="614"/>
      <c r="AM17" s="614"/>
      <c r="AN17" s="614"/>
      <c r="AO17" s="614"/>
      <c r="AP17" s="614"/>
      <c r="AQ17" s="614"/>
      <c r="AR17" s="614"/>
      <c r="AS17" s="614"/>
      <c r="AT17" s="614"/>
      <c r="AU17" s="614"/>
      <c r="AV17" s="614"/>
      <c r="AW17" s="614"/>
      <c r="AX17" s="614"/>
      <c r="AY17" s="614"/>
      <c r="AZ17" s="614"/>
      <c r="BA17" s="614"/>
      <c r="BB17" s="614"/>
      <c r="BC17" s="614"/>
      <c r="BD17" s="614"/>
      <c r="BE17" s="614"/>
      <c r="BF17" s="614"/>
      <c r="BG17" s="614"/>
      <c r="BH17" s="614"/>
      <c r="BI17" s="614"/>
      <c r="BJ17" s="614"/>
      <c r="BK17" s="614"/>
      <c r="BL17" s="614"/>
      <c r="BM17" s="614"/>
      <c r="BN17" s="614"/>
      <c r="BO17" s="614"/>
      <c r="BP17" s="614"/>
      <c r="BQ17" s="614"/>
      <c r="BR17" s="614"/>
      <c r="BS17" s="614"/>
      <c r="BT17" s="614"/>
      <c r="BU17" s="614"/>
      <c r="BV17" s="614"/>
      <c r="BW17" s="614"/>
      <c r="BX17" s="614"/>
      <c r="BY17" s="614"/>
      <c r="BZ17" s="614"/>
      <c r="CA17" s="614"/>
      <c r="CB17" s="614"/>
      <c r="CC17" s="614"/>
      <c r="CD17" s="614"/>
      <c r="CE17" s="614"/>
      <c r="CF17" s="614"/>
      <c r="CG17" s="614"/>
      <c r="CH17" s="614"/>
      <c r="CI17" s="614"/>
      <c r="CJ17" s="614"/>
      <c r="CK17" s="614"/>
      <c r="CL17" s="614"/>
      <c r="CM17" s="615"/>
      <c r="CN17" s="571" t="s">
        <v>319</v>
      </c>
      <c r="CO17" s="566"/>
      <c r="CP17" s="566"/>
      <c r="CQ17" s="566"/>
      <c r="CR17" s="566"/>
      <c r="CS17" s="566"/>
      <c r="CT17" s="566"/>
      <c r="CU17" s="567"/>
      <c r="CV17" s="572" t="s">
        <v>190</v>
      </c>
      <c r="CW17" s="566"/>
      <c r="CX17" s="566"/>
      <c r="CY17" s="566"/>
      <c r="CZ17" s="566"/>
      <c r="DA17" s="566"/>
      <c r="DB17" s="566"/>
      <c r="DC17" s="566"/>
      <c r="DD17" s="566"/>
      <c r="DE17" s="567"/>
      <c r="DF17" s="601"/>
      <c r="DG17" s="602"/>
      <c r="DH17" s="602"/>
      <c r="DI17" s="602"/>
      <c r="DJ17" s="602"/>
      <c r="DK17" s="602"/>
      <c r="DL17" s="602"/>
      <c r="DM17" s="602"/>
      <c r="DN17" s="602"/>
      <c r="DO17" s="602"/>
      <c r="DP17" s="602"/>
      <c r="DQ17" s="602"/>
      <c r="DR17" s="603"/>
      <c r="DS17" s="574">
        <v>0</v>
      </c>
      <c r="DT17" s="575"/>
      <c r="DU17" s="575"/>
      <c r="DV17" s="575"/>
      <c r="DW17" s="575"/>
      <c r="DX17" s="575"/>
      <c r="DY17" s="575"/>
      <c r="DZ17" s="575"/>
      <c r="EA17" s="575"/>
      <c r="EB17" s="575"/>
      <c r="EC17" s="575"/>
      <c r="ED17" s="575"/>
      <c r="EE17" s="576"/>
      <c r="EF17" s="574">
        <v>0</v>
      </c>
      <c r="EG17" s="575"/>
      <c r="EH17" s="575"/>
      <c r="EI17" s="575"/>
      <c r="EJ17" s="575"/>
      <c r="EK17" s="575"/>
      <c r="EL17" s="575"/>
      <c r="EM17" s="575"/>
      <c r="EN17" s="575"/>
      <c r="EO17" s="575"/>
      <c r="EP17" s="575"/>
      <c r="EQ17" s="575"/>
      <c r="ER17" s="576"/>
      <c r="ES17" s="574">
        <v>0</v>
      </c>
      <c r="ET17" s="575"/>
      <c r="EU17" s="575"/>
      <c r="EV17" s="575"/>
      <c r="EW17" s="575"/>
      <c r="EX17" s="575"/>
      <c r="EY17" s="575"/>
      <c r="EZ17" s="575"/>
      <c r="FA17" s="575"/>
      <c r="FB17" s="575"/>
      <c r="FC17" s="575"/>
      <c r="FD17" s="575"/>
      <c r="FE17" s="576"/>
      <c r="FF17" s="577"/>
      <c r="FG17" s="578"/>
      <c r="FH17" s="578"/>
      <c r="FI17" s="578"/>
      <c r="FJ17" s="578"/>
      <c r="FK17" s="578"/>
      <c r="FL17" s="578"/>
      <c r="FM17" s="578"/>
      <c r="FN17" s="578"/>
      <c r="FO17" s="578"/>
      <c r="FP17" s="578"/>
      <c r="FQ17" s="578"/>
      <c r="FR17" s="579"/>
    </row>
    <row r="18" spans="1:174" ht="22.5" customHeight="1" x14ac:dyDescent="0.2">
      <c r="A18" s="566" t="s">
        <v>320</v>
      </c>
      <c r="B18" s="566"/>
      <c r="C18" s="566"/>
      <c r="D18" s="566"/>
      <c r="E18" s="566"/>
      <c r="F18" s="566"/>
      <c r="G18" s="566"/>
      <c r="H18" s="567"/>
      <c r="I18" s="610" t="s">
        <v>321</v>
      </c>
      <c r="J18" s="611"/>
      <c r="K18" s="611"/>
      <c r="L18" s="611"/>
      <c r="M18" s="611"/>
      <c r="N18" s="611"/>
      <c r="O18" s="611"/>
      <c r="P18" s="611"/>
      <c r="Q18" s="611"/>
      <c r="R18" s="611"/>
      <c r="S18" s="611"/>
      <c r="T18" s="611"/>
      <c r="U18" s="611"/>
      <c r="V18" s="611"/>
      <c r="W18" s="611"/>
      <c r="X18" s="611"/>
      <c r="Y18" s="611"/>
      <c r="Z18" s="611"/>
      <c r="AA18" s="611"/>
      <c r="AB18" s="611"/>
      <c r="AC18" s="611"/>
      <c r="AD18" s="611"/>
      <c r="AE18" s="611"/>
      <c r="AF18" s="611"/>
      <c r="AG18" s="611"/>
      <c r="AH18" s="611"/>
      <c r="AI18" s="611"/>
      <c r="AJ18" s="611"/>
      <c r="AK18" s="611"/>
      <c r="AL18" s="611"/>
      <c r="AM18" s="611"/>
      <c r="AN18" s="611"/>
      <c r="AO18" s="611"/>
      <c r="AP18" s="611"/>
      <c r="AQ18" s="611"/>
      <c r="AR18" s="611"/>
      <c r="AS18" s="611"/>
      <c r="AT18" s="611"/>
      <c r="AU18" s="611"/>
      <c r="AV18" s="611"/>
      <c r="AW18" s="611"/>
      <c r="AX18" s="611"/>
      <c r="AY18" s="611"/>
      <c r="AZ18" s="611"/>
      <c r="BA18" s="611"/>
      <c r="BB18" s="611"/>
      <c r="BC18" s="611"/>
      <c r="BD18" s="611"/>
      <c r="BE18" s="611"/>
      <c r="BF18" s="611"/>
      <c r="BG18" s="611"/>
      <c r="BH18" s="611"/>
      <c r="BI18" s="611"/>
      <c r="BJ18" s="611"/>
      <c r="BK18" s="611"/>
      <c r="BL18" s="611"/>
      <c r="BM18" s="611"/>
      <c r="BN18" s="611"/>
      <c r="BO18" s="611"/>
      <c r="BP18" s="611"/>
      <c r="BQ18" s="611"/>
      <c r="BR18" s="611"/>
      <c r="BS18" s="611"/>
      <c r="BT18" s="611"/>
      <c r="BU18" s="611"/>
      <c r="BV18" s="611"/>
      <c r="BW18" s="611"/>
      <c r="BX18" s="611"/>
      <c r="BY18" s="611"/>
      <c r="BZ18" s="611"/>
      <c r="CA18" s="611"/>
      <c r="CB18" s="611"/>
      <c r="CC18" s="611"/>
      <c r="CD18" s="611"/>
      <c r="CE18" s="611"/>
      <c r="CF18" s="611"/>
      <c r="CG18" s="611"/>
      <c r="CH18" s="611"/>
      <c r="CI18" s="611"/>
      <c r="CJ18" s="611"/>
      <c r="CK18" s="611"/>
      <c r="CL18" s="611"/>
      <c r="CM18" s="612"/>
      <c r="CN18" s="571" t="s">
        <v>322</v>
      </c>
      <c r="CO18" s="566"/>
      <c r="CP18" s="566"/>
      <c r="CQ18" s="566"/>
      <c r="CR18" s="566"/>
      <c r="CS18" s="566"/>
      <c r="CT18" s="566"/>
      <c r="CU18" s="567"/>
      <c r="CV18" s="572" t="s">
        <v>190</v>
      </c>
      <c r="CW18" s="566"/>
      <c r="CX18" s="566"/>
      <c r="CY18" s="566"/>
      <c r="CZ18" s="566"/>
      <c r="DA18" s="566"/>
      <c r="DB18" s="566"/>
      <c r="DC18" s="566"/>
      <c r="DD18" s="566"/>
      <c r="DE18" s="567"/>
      <c r="DF18" s="616" t="s">
        <v>404</v>
      </c>
      <c r="DG18" s="602"/>
      <c r="DH18" s="602"/>
      <c r="DI18" s="602"/>
      <c r="DJ18" s="602"/>
      <c r="DK18" s="602"/>
      <c r="DL18" s="602"/>
      <c r="DM18" s="602"/>
      <c r="DN18" s="602"/>
      <c r="DO18" s="602"/>
      <c r="DP18" s="602"/>
      <c r="DQ18" s="602"/>
      <c r="DR18" s="603"/>
      <c r="DS18" s="574"/>
      <c r="DT18" s="575"/>
      <c r="DU18" s="575"/>
      <c r="DV18" s="575"/>
      <c r="DW18" s="575"/>
      <c r="DX18" s="575"/>
      <c r="DY18" s="575"/>
      <c r="DZ18" s="575"/>
      <c r="EA18" s="575"/>
      <c r="EB18" s="575"/>
      <c r="EC18" s="575"/>
      <c r="ED18" s="575"/>
      <c r="EE18" s="576"/>
      <c r="EF18" s="574">
        <v>0</v>
      </c>
      <c r="EG18" s="575"/>
      <c r="EH18" s="575"/>
      <c r="EI18" s="575"/>
      <c r="EJ18" s="575"/>
      <c r="EK18" s="575"/>
      <c r="EL18" s="575"/>
      <c r="EM18" s="575"/>
      <c r="EN18" s="575"/>
      <c r="EO18" s="575"/>
      <c r="EP18" s="575"/>
      <c r="EQ18" s="575"/>
      <c r="ER18" s="576"/>
      <c r="ES18" s="574">
        <v>0</v>
      </c>
      <c r="ET18" s="575"/>
      <c r="EU18" s="575"/>
      <c r="EV18" s="575"/>
      <c r="EW18" s="575"/>
      <c r="EX18" s="575"/>
      <c r="EY18" s="575"/>
      <c r="EZ18" s="575"/>
      <c r="FA18" s="575"/>
      <c r="FB18" s="575"/>
      <c r="FC18" s="575"/>
      <c r="FD18" s="575"/>
      <c r="FE18" s="576"/>
      <c r="FF18" s="577"/>
      <c r="FG18" s="578"/>
      <c r="FH18" s="578"/>
      <c r="FI18" s="578"/>
      <c r="FJ18" s="578"/>
      <c r="FK18" s="578"/>
      <c r="FL18" s="578"/>
      <c r="FM18" s="578"/>
      <c r="FN18" s="578"/>
      <c r="FO18" s="578"/>
      <c r="FP18" s="578"/>
      <c r="FQ18" s="578"/>
      <c r="FR18" s="579"/>
    </row>
    <row r="19" spans="1:174" ht="12" customHeight="1" x14ac:dyDescent="0.2">
      <c r="A19" s="566" t="s">
        <v>323</v>
      </c>
      <c r="B19" s="566"/>
      <c r="C19" s="566"/>
      <c r="D19" s="566"/>
      <c r="E19" s="566"/>
      <c r="F19" s="566"/>
      <c r="G19" s="566"/>
      <c r="H19" s="567"/>
      <c r="I19" s="613" t="s">
        <v>315</v>
      </c>
      <c r="J19" s="614"/>
      <c r="K19" s="614"/>
      <c r="L19" s="614"/>
      <c r="M19" s="614"/>
      <c r="N19" s="614"/>
      <c r="O19" s="614"/>
      <c r="P19" s="614"/>
      <c r="Q19" s="614"/>
      <c r="R19" s="614"/>
      <c r="S19" s="614"/>
      <c r="T19" s="614"/>
      <c r="U19" s="614"/>
      <c r="V19" s="614"/>
      <c r="W19" s="614"/>
      <c r="X19" s="614"/>
      <c r="Y19" s="614"/>
      <c r="Z19" s="614"/>
      <c r="AA19" s="614"/>
      <c r="AB19" s="614"/>
      <c r="AC19" s="614"/>
      <c r="AD19" s="614"/>
      <c r="AE19" s="614"/>
      <c r="AF19" s="614"/>
      <c r="AG19" s="614"/>
      <c r="AH19" s="614"/>
      <c r="AI19" s="614"/>
      <c r="AJ19" s="614"/>
      <c r="AK19" s="614"/>
      <c r="AL19" s="614"/>
      <c r="AM19" s="614"/>
      <c r="AN19" s="614"/>
      <c r="AO19" s="614"/>
      <c r="AP19" s="614"/>
      <c r="AQ19" s="614"/>
      <c r="AR19" s="614"/>
      <c r="AS19" s="614"/>
      <c r="AT19" s="614"/>
      <c r="AU19" s="614"/>
      <c r="AV19" s="614"/>
      <c r="AW19" s="614"/>
      <c r="AX19" s="614"/>
      <c r="AY19" s="614"/>
      <c r="AZ19" s="614"/>
      <c r="BA19" s="614"/>
      <c r="BB19" s="614"/>
      <c r="BC19" s="614"/>
      <c r="BD19" s="614"/>
      <c r="BE19" s="614"/>
      <c r="BF19" s="614"/>
      <c r="BG19" s="614"/>
      <c r="BH19" s="614"/>
      <c r="BI19" s="614"/>
      <c r="BJ19" s="614"/>
      <c r="BK19" s="614"/>
      <c r="BL19" s="614"/>
      <c r="BM19" s="614"/>
      <c r="BN19" s="614"/>
      <c r="BO19" s="614"/>
      <c r="BP19" s="614"/>
      <c r="BQ19" s="614"/>
      <c r="BR19" s="614"/>
      <c r="BS19" s="614"/>
      <c r="BT19" s="614"/>
      <c r="BU19" s="614"/>
      <c r="BV19" s="614"/>
      <c r="BW19" s="614"/>
      <c r="BX19" s="614"/>
      <c r="BY19" s="614"/>
      <c r="BZ19" s="614"/>
      <c r="CA19" s="614"/>
      <c r="CB19" s="614"/>
      <c r="CC19" s="614"/>
      <c r="CD19" s="614"/>
      <c r="CE19" s="614"/>
      <c r="CF19" s="614"/>
      <c r="CG19" s="614"/>
      <c r="CH19" s="614"/>
      <c r="CI19" s="614"/>
      <c r="CJ19" s="614"/>
      <c r="CK19" s="614"/>
      <c r="CL19" s="614"/>
      <c r="CM19" s="615"/>
      <c r="CN19" s="571" t="s">
        <v>324</v>
      </c>
      <c r="CO19" s="566"/>
      <c r="CP19" s="566"/>
      <c r="CQ19" s="566"/>
      <c r="CR19" s="566"/>
      <c r="CS19" s="566"/>
      <c r="CT19" s="566"/>
      <c r="CU19" s="567"/>
      <c r="CV19" s="572" t="s">
        <v>190</v>
      </c>
      <c r="CW19" s="566"/>
      <c r="CX19" s="566"/>
      <c r="CY19" s="566"/>
      <c r="CZ19" s="566"/>
      <c r="DA19" s="566"/>
      <c r="DB19" s="566"/>
      <c r="DC19" s="566"/>
      <c r="DD19" s="566"/>
      <c r="DE19" s="567"/>
      <c r="DF19" s="616" t="s">
        <v>404</v>
      </c>
      <c r="DG19" s="602"/>
      <c r="DH19" s="602"/>
      <c r="DI19" s="602"/>
      <c r="DJ19" s="602"/>
      <c r="DK19" s="602"/>
      <c r="DL19" s="602"/>
      <c r="DM19" s="602"/>
      <c r="DN19" s="602"/>
      <c r="DO19" s="602"/>
      <c r="DP19" s="602"/>
      <c r="DQ19" s="602"/>
      <c r="DR19" s="603"/>
      <c r="DS19" s="574">
        <f>DS18</f>
        <v>0</v>
      </c>
      <c r="DT19" s="575"/>
      <c r="DU19" s="575"/>
      <c r="DV19" s="575"/>
      <c r="DW19" s="575"/>
      <c r="DX19" s="575"/>
      <c r="DY19" s="575"/>
      <c r="DZ19" s="575"/>
      <c r="EA19" s="575"/>
      <c r="EB19" s="575"/>
      <c r="EC19" s="575"/>
      <c r="ED19" s="575"/>
      <c r="EE19" s="576"/>
      <c r="EF19" s="574">
        <v>0</v>
      </c>
      <c r="EG19" s="575"/>
      <c r="EH19" s="575"/>
      <c r="EI19" s="575"/>
      <c r="EJ19" s="575"/>
      <c r="EK19" s="575"/>
      <c r="EL19" s="575"/>
      <c r="EM19" s="575"/>
      <c r="EN19" s="575"/>
      <c r="EO19" s="575"/>
      <c r="EP19" s="575"/>
      <c r="EQ19" s="575"/>
      <c r="ER19" s="576"/>
      <c r="ES19" s="574">
        <v>0</v>
      </c>
      <c r="ET19" s="575"/>
      <c r="EU19" s="575"/>
      <c r="EV19" s="575"/>
      <c r="EW19" s="575"/>
      <c r="EX19" s="575"/>
      <c r="EY19" s="575"/>
      <c r="EZ19" s="575"/>
      <c r="FA19" s="575"/>
      <c r="FB19" s="575"/>
      <c r="FC19" s="575"/>
      <c r="FD19" s="575"/>
      <c r="FE19" s="576"/>
      <c r="FF19" s="577"/>
      <c r="FG19" s="578"/>
      <c r="FH19" s="578"/>
      <c r="FI19" s="578"/>
      <c r="FJ19" s="578"/>
      <c r="FK19" s="578"/>
      <c r="FL19" s="578"/>
      <c r="FM19" s="578"/>
      <c r="FN19" s="578"/>
      <c r="FO19" s="578"/>
      <c r="FP19" s="578"/>
      <c r="FQ19" s="578"/>
      <c r="FR19" s="579"/>
    </row>
    <row r="20" spans="1:174" ht="12" customHeight="1" x14ac:dyDescent="0.2">
      <c r="A20" s="566"/>
      <c r="B20" s="566"/>
      <c r="C20" s="566"/>
      <c r="D20" s="566"/>
      <c r="E20" s="566"/>
      <c r="F20" s="566"/>
      <c r="G20" s="566"/>
      <c r="H20" s="567"/>
      <c r="I20" s="617" t="s">
        <v>380</v>
      </c>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8"/>
      <c r="AW20" s="618"/>
      <c r="AX20" s="618"/>
      <c r="AY20" s="618"/>
      <c r="AZ20" s="618"/>
      <c r="BA20" s="618"/>
      <c r="BB20" s="618"/>
      <c r="BC20" s="618"/>
      <c r="BD20" s="618"/>
      <c r="BE20" s="618"/>
      <c r="BF20" s="618"/>
      <c r="BG20" s="618"/>
      <c r="BH20" s="618"/>
      <c r="BI20" s="618"/>
      <c r="BJ20" s="618"/>
      <c r="BK20" s="618"/>
      <c r="BL20" s="618"/>
      <c r="BM20" s="618"/>
      <c r="BN20" s="618"/>
      <c r="BO20" s="618"/>
      <c r="BP20" s="618"/>
      <c r="BQ20" s="618"/>
      <c r="BR20" s="618"/>
      <c r="BS20" s="618"/>
      <c r="BT20" s="618"/>
      <c r="BU20" s="618"/>
      <c r="BV20" s="618"/>
      <c r="BW20" s="618"/>
      <c r="BX20" s="618"/>
      <c r="BY20" s="618"/>
      <c r="BZ20" s="618"/>
      <c r="CA20" s="618"/>
      <c r="CB20" s="618"/>
      <c r="CC20" s="618"/>
      <c r="CD20" s="618"/>
      <c r="CE20" s="618"/>
      <c r="CF20" s="618"/>
      <c r="CG20" s="618"/>
      <c r="CH20" s="618"/>
      <c r="CI20" s="618"/>
      <c r="CJ20" s="618"/>
      <c r="CK20" s="618"/>
      <c r="CL20" s="618"/>
      <c r="CM20" s="619"/>
      <c r="CN20" s="571" t="s">
        <v>381</v>
      </c>
      <c r="CO20" s="566"/>
      <c r="CP20" s="566"/>
      <c r="CQ20" s="566"/>
      <c r="CR20" s="566"/>
      <c r="CS20" s="566"/>
      <c r="CT20" s="566"/>
      <c r="CU20" s="567"/>
      <c r="CV20" s="572" t="s">
        <v>190</v>
      </c>
      <c r="CW20" s="566"/>
      <c r="CX20" s="566"/>
      <c r="CY20" s="566"/>
      <c r="CZ20" s="566"/>
      <c r="DA20" s="566"/>
      <c r="DB20" s="566"/>
      <c r="DC20" s="566"/>
      <c r="DD20" s="566"/>
      <c r="DE20" s="567"/>
      <c r="DF20" s="601"/>
      <c r="DG20" s="602"/>
      <c r="DH20" s="602"/>
      <c r="DI20" s="602"/>
      <c r="DJ20" s="602"/>
      <c r="DK20" s="602"/>
      <c r="DL20" s="602"/>
      <c r="DM20" s="602"/>
      <c r="DN20" s="602"/>
      <c r="DO20" s="602"/>
      <c r="DP20" s="602"/>
      <c r="DQ20" s="602"/>
      <c r="DR20" s="603"/>
      <c r="DS20" s="574"/>
      <c r="DT20" s="575"/>
      <c r="DU20" s="575"/>
      <c r="DV20" s="575"/>
      <c r="DW20" s="575"/>
      <c r="DX20" s="575"/>
      <c r="DY20" s="575"/>
      <c r="DZ20" s="575"/>
      <c r="EA20" s="575"/>
      <c r="EB20" s="575"/>
      <c r="EC20" s="575"/>
      <c r="ED20" s="575"/>
      <c r="EE20" s="576"/>
      <c r="EF20" s="574"/>
      <c r="EG20" s="575"/>
      <c r="EH20" s="575"/>
      <c r="EI20" s="575"/>
      <c r="EJ20" s="575"/>
      <c r="EK20" s="575"/>
      <c r="EL20" s="575"/>
      <c r="EM20" s="575"/>
      <c r="EN20" s="575"/>
      <c r="EO20" s="575"/>
      <c r="EP20" s="575"/>
      <c r="EQ20" s="575"/>
      <c r="ER20" s="576"/>
      <c r="ES20" s="574"/>
      <c r="ET20" s="575"/>
      <c r="EU20" s="575"/>
      <c r="EV20" s="575"/>
      <c r="EW20" s="575"/>
      <c r="EX20" s="575"/>
      <c r="EY20" s="575"/>
      <c r="EZ20" s="575"/>
      <c r="FA20" s="575"/>
      <c r="FB20" s="575"/>
      <c r="FC20" s="575"/>
      <c r="FD20" s="575"/>
      <c r="FE20" s="576"/>
      <c r="FF20" s="441"/>
      <c r="FG20" s="442"/>
      <c r="FH20" s="442"/>
      <c r="FI20" s="442"/>
      <c r="FJ20" s="442"/>
      <c r="FK20" s="442"/>
      <c r="FL20" s="442"/>
      <c r="FM20" s="442"/>
      <c r="FN20" s="442"/>
      <c r="FO20" s="442"/>
      <c r="FP20" s="442"/>
      <c r="FQ20" s="442"/>
      <c r="FR20" s="443"/>
    </row>
    <row r="21" spans="1:174" ht="12" customHeight="1" x14ac:dyDescent="0.2">
      <c r="A21" s="566" t="s">
        <v>325</v>
      </c>
      <c r="B21" s="566"/>
      <c r="C21" s="566"/>
      <c r="D21" s="566"/>
      <c r="E21" s="566"/>
      <c r="F21" s="566"/>
      <c r="G21" s="566"/>
      <c r="H21" s="567"/>
      <c r="I21" s="613" t="s">
        <v>318</v>
      </c>
      <c r="J21" s="614"/>
      <c r="K21" s="614"/>
      <c r="L21" s="614"/>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4"/>
      <c r="AM21" s="614"/>
      <c r="AN21" s="614"/>
      <c r="AO21" s="614"/>
      <c r="AP21" s="614"/>
      <c r="AQ21" s="614"/>
      <c r="AR21" s="614"/>
      <c r="AS21" s="614"/>
      <c r="AT21" s="614"/>
      <c r="AU21" s="614"/>
      <c r="AV21" s="614"/>
      <c r="AW21" s="614"/>
      <c r="AX21" s="614"/>
      <c r="AY21" s="614"/>
      <c r="AZ21" s="614"/>
      <c r="BA21" s="614"/>
      <c r="BB21" s="614"/>
      <c r="BC21" s="614"/>
      <c r="BD21" s="614"/>
      <c r="BE21" s="614"/>
      <c r="BF21" s="614"/>
      <c r="BG21" s="614"/>
      <c r="BH21" s="614"/>
      <c r="BI21" s="614"/>
      <c r="BJ21" s="614"/>
      <c r="BK21" s="614"/>
      <c r="BL21" s="614"/>
      <c r="BM21" s="614"/>
      <c r="BN21" s="614"/>
      <c r="BO21" s="614"/>
      <c r="BP21" s="614"/>
      <c r="BQ21" s="614"/>
      <c r="BR21" s="614"/>
      <c r="BS21" s="614"/>
      <c r="BT21" s="614"/>
      <c r="BU21" s="614"/>
      <c r="BV21" s="614"/>
      <c r="BW21" s="614"/>
      <c r="BX21" s="614"/>
      <c r="BY21" s="614"/>
      <c r="BZ21" s="614"/>
      <c r="CA21" s="614"/>
      <c r="CB21" s="614"/>
      <c r="CC21" s="614"/>
      <c r="CD21" s="614"/>
      <c r="CE21" s="614"/>
      <c r="CF21" s="614"/>
      <c r="CG21" s="614"/>
      <c r="CH21" s="614"/>
      <c r="CI21" s="614"/>
      <c r="CJ21" s="614"/>
      <c r="CK21" s="614"/>
      <c r="CL21" s="614"/>
      <c r="CM21" s="615"/>
      <c r="CN21" s="571" t="s">
        <v>326</v>
      </c>
      <c r="CO21" s="566"/>
      <c r="CP21" s="566"/>
      <c r="CQ21" s="566"/>
      <c r="CR21" s="566"/>
      <c r="CS21" s="566"/>
      <c r="CT21" s="566"/>
      <c r="CU21" s="567"/>
      <c r="CV21" s="572" t="s">
        <v>190</v>
      </c>
      <c r="CW21" s="566"/>
      <c r="CX21" s="566"/>
      <c r="CY21" s="566"/>
      <c r="CZ21" s="566"/>
      <c r="DA21" s="566"/>
      <c r="DB21" s="566"/>
      <c r="DC21" s="566"/>
      <c r="DD21" s="566"/>
      <c r="DE21" s="567"/>
      <c r="DF21" s="601"/>
      <c r="DG21" s="602"/>
      <c r="DH21" s="602"/>
      <c r="DI21" s="602"/>
      <c r="DJ21" s="602"/>
      <c r="DK21" s="602"/>
      <c r="DL21" s="602"/>
      <c r="DM21" s="602"/>
      <c r="DN21" s="602"/>
      <c r="DO21" s="602"/>
      <c r="DP21" s="602"/>
      <c r="DQ21" s="602"/>
      <c r="DR21" s="603"/>
      <c r="DS21" s="574">
        <v>0</v>
      </c>
      <c r="DT21" s="575"/>
      <c r="DU21" s="575"/>
      <c r="DV21" s="575"/>
      <c r="DW21" s="575"/>
      <c r="DX21" s="575"/>
      <c r="DY21" s="575"/>
      <c r="DZ21" s="575"/>
      <c r="EA21" s="575"/>
      <c r="EB21" s="575"/>
      <c r="EC21" s="575"/>
      <c r="ED21" s="575"/>
      <c r="EE21" s="576"/>
      <c r="EF21" s="574">
        <v>0</v>
      </c>
      <c r="EG21" s="575"/>
      <c r="EH21" s="575"/>
      <c r="EI21" s="575"/>
      <c r="EJ21" s="575"/>
      <c r="EK21" s="575"/>
      <c r="EL21" s="575"/>
      <c r="EM21" s="575"/>
      <c r="EN21" s="575"/>
      <c r="EO21" s="575"/>
      <c r="EP21" s="575"/>
      <c r="EQ21" s="575"/>
      <c r="ER21" s="576"/>
      <c r="ES21" s="574">
        <v>0</v>
      </c>
      <c r="ET21" s="575"/>
      <c r="EU21" s="575"/>
      <c r="EV21" s="575"/>
      <c r="EW21" s="575"/>
      <c r="EX21" s="575"/>
      <c r="EY21" s="575"/>
      <c r="EZ21" s="575"/>
      <c r="FA21" s="575"/>
      <c r="FB21" s="575"/>
      <c r="FC21" s="575"/>
      <c r="FD21" s="575"/>
      <c r="FE21" s="576"/>
      <c r="FF21" s="577"/>
      <c r="FG21" s="578"/>
      <c r="FH21" s="578"/>
      <c r="FI21" s="578"/>
      <c r="FJ21" s="578"/>
      <c r="FK21" s="578"/>
      <c r="FL21" s="578"/>
      <c r="FM21" s="578"/>
      <c r="FN21" s="578"/>
      <c r="FO21" s="578"/>
      <c r="FP21" s="578"/>
      <c r="FQ21" s="578"/>
      <c r="FR21" s="579"/>
    </row>
    <row r="22" spans="1:174" ht="12" customHeight="1" x14ac:dyDescent="0.2">
      <c r="A22" s="566" t="s">
        <v>327</v>
      </c>
      <c r="B22" s="566"/>
      <c r="C22" s="566"/>
      <c r="D22" s="566"/>
      <c r="E22" s="566"/>
      <c r="F22" s="566"/>
      <c r="G22" s="566"/>
      <c r="H22" s="567"/>
      <c r="I22" s="610" t="s">
        <v>328</v>
      </c>
      <c r="J22" s="611"/>
      <c r="K22" s="611"/>
      <c r="L22" s="611"/>
      <c r="M22" s="611"/>
      <c r="N22" s="611"/>
      <c r="O22" s="611"/>
      <c r="P22" s="611"/>
      <c r="Q22" s="611"/>
      <c r="R22" s="611"/>
      <c r="S22" s="611"/>
      <c r="T22" s="611"/>
      <c r="U22" s="611"/>
      <c r="V22" s="611"/>
      <c r="W22" s="611"/>
      <c r="X22" s="611"/>
      <c r="Y22" s="611"/>
      <c r="Z22" s="611"/>
      <c r="AA22" s="611"/>
      <c r="AB22" s="611"/>
      <c r="AC22" s="611"/>
      <c r="AD22" s="611"/>
      <c r="AE22" s="611"/>
      <c r="AF22" s="611"/>
      <c r="AG22" s="611"/>
      <c r="AH22" s="611"/>
      <c r="AI22" s="611"/>
      <c r="AJ22" s="611"/>
      <c r="AK22" s="611"/>
      <c r="AL22" s="611"/>
      <c r="AM22" s="611"/>
      <c r="AN22" s="611"/>
      <c r="AO22" s="611"/>
      <c r="AP22" s="611"/>
      <c r="AQ22" s="611"/>
      <c r="AR22" s="611"/>
      <c r="AS22" s="611"/>
      <c r="AT22" s="611"/>
      <c r="AU22" s="611"/>
      <c r="AV22" s="611"/>
      <c r="AW22" s="611"/>
      <c r="AX22" s="611"/>
      <c r="AY22" s="611"/>
      <c r="AZ22" s="611"/>
      <c r="BA22" s="611"/>
      <c r="BB22" s="611"/>
      <c r="BC22" s="611"/>
      <c r="BD22" s="611"/>
      <c r="BE22" s="611"/>
      <c r="BF22" s="611"/>
      <c r="BG22" s="611"/>
      <c r="BH22" s="611"/>
      <c r="BI22" s="611"/>
      <c r="BJ22" s="611"/>
      <c r="BK22" s="611"/>
      <c r="BL22" s="611"/>
      <c r="BM22" s="611"/>
      <c r="BN22" s="611"/>
      <c r="BO22" s="611"/>
      <c r="BP22" s="611"/>
      <c r="BQ22" s="611"/>
      <c r="BR22" s="611"/>
      <c r="BS22" s="611"/>
      <c r="BT22" s="611"/>
      <c r="BU22" s="611"/>
      <c r="BV22" s="611"/>
      <c r="BW22" s="611"/>
      <c r="BX22" s="611"/>
      <c r="BY22" s="611"/>
      <c r="BZ22" s="611"/>
      <c r="CA22" s="611"/>
      <c r="CB22" s="611"/>
      <c r="CC22" s="611"/>
      <c r="CD22" s="611"/>
      <c r="CE22" s="611"/>
      <c r="CF22" s="611"/>
      <c r="CG22" s="611"/>
      <c r="CH22" s="611"/>
      <c r="CI22" s="611"/>
      <c r="CJ22" s="611"/>
      <c r="CK22" s="611"/>
      <c r="CL22" s="611"/>
      <c r="CM22" s="612"/>
      <c r="CN22" s="571" t="s">
        <v>329</v>
      </c>
      <c r="CO22" s="566"/>
      <c r="CP22" s="566"/>
      <c r="CQ22" s="566"/>
      <c r="CR22" s="566"/>
      <c r="CS22" s="566"/>
      <c r="CT22" s="566"/>
      <c r="CU22" s="567"/>
      <c r="CV22" s="572" t="s">
        <v>190</v>
      </c>
      <c r="CW22" s="566"/>
      <c r="CX22" s="566"/>
      <c r="CY22" s="566"/>
      <c r="CZ22" s="566"/>
      <c r="DA22" s="566"/>
      <c r="DB22" s="566"/>
      <c r="DC22" s="566"/>
      <c r="DD22" s="566"/>
      <c r="DE22" s="567"/>
      <c r="DF22" s="601"/>
      <c r="DG22" s="602"/>
      <c r="DH22" s="602"/>
      <c r="DI22" s="602"/>
      <c r="DJ22" s="602"/>
      <c r="DK22" s="602"/>
      <c r="DL22" s="602"/>
      <c r="DM22" s="602"/>
      <c r="DN22" s="602"/>
      <c r="DO22" s="602"/>
      <c r="DP22" s="602"/>
      <c r="DQ22" s="602"/>
      <c r="DR22" s="603"/>
      <c r="DS22" s="574">
        <v>0</v>
      </c>
      <c r="DT22" s="575"/>
      <c r="DU22" s="575"/>
      <c r="DV22" s="575"/>
      <c r="DW22" s="575"/>
      <c r="DX22" s="575"/>
      <c r="DY22" s="575"/>
      <c r="DZ22" s="575"/>
      <c r="EA22" s="575"/>
      <c r="EB22" s="575"/>
      <c r="EC22" s="575"/>
      <c r="ED22" s="575"/>
      <c r="EE22" s="576"/>
      <c r="EF22" s="574">
        <v>0</v>
      </c>
      <c r="EG22" s="575"/>
      <c r="EH22" s="575"/>
      <c r="EI22" s="575"/>
      <c r="EJ22" s="575"/>
      <c r="EK22" s="575"/>
      <c r="EL22" s="575"/>
      <c r="EM22" s="575"/>
      <c r="EN22" s="575"/>
      <c r="EO22" s="575"/>
      <c r="EP22" s="575"/>
      <c r="EQ22" s="575"/>
      <c r="ER22" s="576"/>
      <c r="ES22" s="574">
        <v>0</v>
      </c>
      <c r="ET22" s="575"/>
      <c r="EU22" s="575"/>
      <c r="EV22" s="575"/>
      <c r="EW22" s="575"/>
      <c r="EX22" s="575"/>
      <c r="EY22" s="575"/>
      <c r="EZ22" s="575"/>
      <c r="FA22" s="575"/>
      <c r="FB22" s="575"/>
      <c r="FC22" s="575"/>
      <c r="FD22" s="575"/>
      <c r="FE22" s="576"/>
      <c r="FF22" s="577"/>
      <c r="FG22" s="578"/>
      <c r="FH22" s="578"/>
      <c r="FI22" s="578"/>
      <c r="FJ22" s="578"/>
      <c r="FK22" s="578"/>
      <c r="FL22" s="578"/>
      <c r="FM22" s="578"/>
      <c r="FN22" s="578"/>
      <c r="FO22" s="578"/>
      <c r="FP22" s="578"/>
      <c r="FQ22" s="578"/>
      <c r="FR22" s="579"/>
    </row>
    <row r="23" spans="1:174" ht="12" customHeight="1" x14ac:dyDescent="0.2">
      <c r="A23" s="438"/>
      <c r="B23" s="438"/>
      <c r="C23" s="438"/>
      <c r="D23" s="438"/>
      <c r="E23" s="438"/>
      <c r="F23" s="438"/>
      <c r="G23" s="438"/>
      <c r="H23" s="439"/>
      <c r="I23" s="620" t="s">
        <v>380</v>
      </c>
      <c r="J23" s="621"/>
      <c r="K23" s="621"/>
      <c r="L23" s="621"/>
      <c r="M23" s="621"/>
      <c r="N23" s="621"/>
      <c r="O23" s="621"/>
      <c r="P23" s="621"/>
      <c r="Q23" s="621"/>
      <c r="R23" s="621"/>
      <c r="S23" s="621"/>
      <c r="T23" s="621"/>
      <c r="U23" s="621"/>
      <c r="V23" s="621"/>
      <c r="W23" s="621"/>
      <c r="X23" s="621"/>
      <c r="Y23" s="621"/>
      <c r="Z23" s="621"/>
      <c r="AA23" s="621"/>
      <c r="AB23" s="621"/>
      <c r="AC23" s="621"/>
      <c r="AD23" s="621"/>
      <c r="AE23" s="621"/>
      <c r="AF23" s="621"/>
      <c r="AG23" s="621"/>
      <c r="AH23" s="621"/>
      <c r="AI23" s="621"/>
      <c r="AJ23" s="621"/>
      <c r="AK23" s="621"/>
      <c r="AL23" s="621"/>
      <c r="AM23" s="621"/>
      <c r="AN23" s="621"/>
      <c r="AO23" s="621"/>
      <c r="AP23" s="621"/>
      <c r="AQ23" s="621"/>
      <c r="AR23" s="621"/>
      <c r="AS23" s="621"/>
      <c r="AT23" s="621"/>
      <c r="AU23" s="621"/>
      <c r="AV23" s="621"/>
      <c r="AW23" s="621"/>
      <c r="AX23" s="621"/>
      <c r="AY23" s="621"/>
      <c r="AZ23" s="621"/>
      <c r="BA23" s="621"/>
      <c r="BB23" s="621"/>
      <c r="BC23" s="621"/>
      <c r="BD23" s="621"/>
      <c r="BE23" s="621"/>
      <c r="BF23" s="621"/>
      <c r="BG23" s="621"/>
      <c r="BH23" s="621"/>
      <c r="BI23" s="621"/>
      <c r="BJ23" s="621"/>
      <c r="BK23" s="621"/>
      <c r="BL23" s="621"/>
      <c r="BM23" s="621"/>
      <c r="BN23" s="621"/>
      <c r="BO23" s="621"/>
      <c r="BP23" s="621"/>
      <c r="BQ23" s="621"/>
      <c r="BR23" s="621"/>
      <c r="BS23" s="621"/>
      <c r="BT23" s="621"/>
      <c r="BU23" s="621"/>
      <c r="BV23" s="621"/>
      <c r="BW23" s="621"/>
      <c r="BX23" s="621"/>
      <c r="BY23" s="621"/>
      <c r="BZ23" s="621"/>
      <c r="CA23" s="621"/>
      <c r="CB23" s="621"/>
      <c r="CC23" s="621"/>
      <c r="CD23" s="621"/>
      <c r="CE23" s="621"/>
      <c r="CF23" s="621"/>
      <c r="CG23" s="621"/>
      <c r="CH23" s="621"/>
      <c r="CI23" s="621"/>
      <c r="CJ23" s="621"/>
      <c r="CK23" s="621"/>
      <c r="CL23" s="621"/>
      <c r="CM23" s="622"/>
      <c r="CN23" s="571" t="s">
        <v>382</v>
      </c>
      <c r="CO23" s="566"/>
      <c r="CP23" s="566"/>
      <c r="CQ23" s="566"/>
      <c r="CR23" s="566"/>
      <c r="CS23" s="566"/>
      <c r="CT23" s="566"/>
      <c r="CU23" s="567"/>
      <c r="CV23" s="572" t="s">
        <v>190</v>
      </c>
      <c r="CW23" s="566"/>
      <c r="CX23" s="566"/>
      <c r="CY23" s="566"/>
      <c r="CZ23" s="566"/>
      <c r="DA23" s="566"/>
      <c r="DB23" s="566"/>
      <c r="DC23" s="566"/>
      <c r="DD23" s="566"/>
      <c r="DE23" s="567"/>
      <c r="DF23" s="601"/>
      <c r="DG23" s="602"/>
      <c r="DH23" s="602"/>
      <c r="DI23" s="602"/>
      <c r="DJ23" s="602"/>
      <c r="DK23" s="602"/>
      <c r="DL23" s="602"/>
      <c r="DM23" s="602"/>
      <c r="DN23" s="602"/>
      <c r="DO23" s="602"/>
      <c r="DP23" s="602"/>
      <c r="DQ23" s="602"/>
      <c r="DR23" s="603"/>
      <c r="DS23" s="601"/>
      <c r="DT23" s="602"/>
      <c r="DU23" s="602"/>
      <c r="DV23" s="602"/>
      <c r="DW23" s="602"/>
      <c r="DX23" s="602"/>
      <c r="DY23" s="602"/>
      <c r="DZ23" s="602"/>
      <c r="EA23" s="602"/>
      <c r="EB23" s="602"/>
      <c r="EC23" s="602"/>
      <c r="ED23" s="602"/>
      <c r="EE23" s="603"/>
      <c r="EF23" s="601"/>
      <c r="EG23" s="602"/>
      <c r="EH23" s="602"/>
      <c r="EI23" s="602"/>
      <c r="EJ23" s="602"/>
      <c r="EK23" s="602"/>
      <c r="EL23" s="602"/>
      <c r="EM23" s="602"/>
      <c r="EN23" s="602"/>
      <c r="EO23" s="602"/>
      <c r="EP23" s="602"/>
      <c r="EQ23" s="602"/>
      <c r="ER23" s="603"/>
      <c r="ES23" s="601"/>
      <c r="ET23" s="602"/>
      <c r="EU23" s="602"/>
      <c r="EV23" s="602"/>
      <c r="EW23" s="602"/>
      <c r="EX23" s="602"/>
      <c r="EY23" s="602"/>
      <c r="EZ23" s="602"/>
      <c r="FA23" s="602"/>
      <c r="FB23" s="602"/>
      <c r="FC23" s="602"/>
      <c r="FD23" s="602"/>
      <c r="FE23" s="603"/>
      <c r="FF23" s="441"/>
      <c r="FG23" s="442"/>
      <c r="FH23" s="442"/>
      <c r="FI23" s="442"/>
      <c r="FJ23" s="442"/>
      <c r="FK23" s="442"/>
      <c r="FL23" s="442"/>
      <c r="FM23" s="442"/>
      <c r="FN23" s="442"/>
      <c r="FO23" s="442"/>
      <c r="FP23" s="442"/>
      <c r="FQ23" s="442"/>
      <c r="FR23" s="443"/>
    </row>
    <row r="24" spans="1:174" ht="12" customHeight="1" x14ac:dyDescent="0.2">
      <c r="A24" s="566" t="s">
        <v>330</v>
      </c>
      <c r="B24" s="566"/>
      <c r="C24" s="566"/>
      <c r="D24" s="566"/>
      <c r="E24" s="566"/>
      <c r="F24" s="566"/>
      <c r="G24" s="566"/>
      <c r="H24" s="567"/>
      <c r="I24" s="610" t="s">
        <v>331</v>
      </c>
      <c r="J24" s="611"/>
      <c r="K24" s="611"/>
      <c r="L24" s="611"/>
      <c r="M24" s="611"/>
      <c r="N24" s="611"/>
      <c r="O24" s="611"/>
      <c r="P24" s="611"/>
      <c r="Q24" s="611"/>
      <c r="R24" s="611"/>
      <c r="S24" s="611"/>
      <c r="T24" s="611"/>
      <c r="U24" s="611"/>
      <c r="V24" s="611"/>
      <c r="W24" s="611"/>
      <c r="X24" s="611"/>
      <c r="Y24" s="611"/>
      <c r="Z24" s="611"/>
      <c r="AA24" s="611"/>
      <c r="AB24" s="611"/>
      <c r="AC24" s="611"/>
      <c r="AD24" s="611"/>
      <c r="AE24" s="611"/>
      <c r="AF24" s="611"/>
      <c r="AG24" s="611"/>
      <c r="AH24" s="611"/>
      <c r="AI24" s="611"/>
      <c r="AJ24" s="611"/>
      <c r="AK24" s="611"/>
      <c r="AL24" s="611"/>
      <c r="AM24" s="611"/>
      <c r="AN24" s="611"/>
      <c r="AO24" s="611"/>
      <c r="AP24" s="611"/>
      <c r="AQ24" s="611"/>
      <c r="AR24" s="611"/>
      <c r="AS24" s="611"/>
      <c r="AT24" s="611"/>
      <c r="AU24" s="611"/>
      <c r="AV24" s="611"/>
      <c r="AW24" s="611"/>
      <c r="AX24" s="611"/>
      <c r="AY24" s="611"/>
      <c r="AZ24" s="611"/>
      <c r="BA24" s="611"/>
      <c r="BB24" s="611"/>
      <c r="BC24" s="611"/>
      <c r="BD24" s="611"/>
      <c r="BE24" s="611"/>
      <c r="BF24" s="611"/>
      <c r="BG24" s="611"/>
      <c r="BH24" s="611"/>
      <c r="BI24" s="611"/>
      <c r="BJ24" s="611"/>
      <c r="BK24" s="611"/>
      <c r="BL24" s="611"/>
      <c r="BM24" s="611"/>
      <c r="BN24" s="611"/>
      <c r="BO24" s="611"/>
      <c r="BP24" s="611"/>
      <c r="BQ24" s="611"/>
      <c r="BR24" s="611"/>
      <c r="BS24" s="611"/>
      <c r="BT24" s="611"/>
      <c r="BU24" s="611"/>
      <c r="BV24" s="611"/>
      <c r="BW24" s="611"/>
      <c r="BX24" s="611"/>
      <c r="BY24" s="611"/>
      <c r="BZ24" s="611"/>
      <c r="CA24" s="611"/>
      <c r="CB24" s="611"/>
      <c r="CC24" s="611"/>
      <c r="CD24" s="611"/>
      <c r="CE24" s="611"/>
      <c r="CF24" s="611"/>
      <c r="CG24" s="611"/>
      <c r="CH24" s="611"/>
      <c r="CI24" s="611"/>
      <c r="CJ24" s="611"/>
      <c r="CK24" s="611"/>
      <c r="CL24" s="611"/>
      <c r="CM24" s="612"/>
      <c r="CN24" s="571" t="s">
        <v>332</v>
      </c>
      <c r="CO24" s="566"/>
      <c r="CP24" s="566"/>
      <c r="CQ24" s="566"/>
      <c r="CR24" s="566"/>
      <c r="CS24" s="566"/>
      <c r="CT24" s="566"/>
      <c r="CU24" s="567"/>
      <c r="CV24" s="572" t="s">
        <v>190</v>
      </c>
      <c r="CW24" s="566"/>
      <c r="CX24" s="566"/>
      <c r="CY24" s="566"/>
      <c r="CZ24" s="566"/>
      <c r="DA24" s="566"/>
      <c r="DB24" s="566"/>
      <c r="DC24" s="566"/>
      <c r="DD24" s="566"/>
      <c r="DE24" s="567"/>
      <c r="DF24" s="601"/>
      <c r="DG24" s="602"/>
      <c r="DH24" s="602"/>
      <c r="DI24" s="602"/>
      <c r="DJ24" s="602"/>
      <c r="DK24" s="602"/>
      <c r="DL24" s="602"/>
      <c r="DM24" s="602"/>
      <c r="DN24" s="602"/>
      <c r="DO24" s="602"/>
      <c r="DP24" s="602"/>
      <c r="DQ24" s="602"/>
      <c r="DR24" s="603"/>
      <c r="DS24" s="574">
        <v>0</v>
      </c>
      <c r="DT24" s="575"/>
      <c r="DU24" s="575"/>
      <c r="DV24" s="575"/>
      <c r="DW24" s="575"/>
      <c r="DX24" s="575"/>
      <c r="DY24" s="575"/>
      <c r="DZ24" s="575"/>
      <c r="EA24" s="575"/>
      <c r="EB24" s="575"/>
      <c r="EC24" s="575"/>
      <c r="ED24" s="575"/>
      <c r="EE24" s="576"/>
      <c r="EF24" s="574">
        <v>0</v>
      </c>
      <c r="EG24" s="575"/>
      <c r="EH24" s="575"/>
      <c r="EI24" s="575"/>
      <c r="EJ24" s="575"/>
      <c r="EK24" s="575"/>
      <c r="EL24" s="575"/>
      <c r="EM24" s="575"/>
      <c r="EN24" s="575"/>
      <c r="EO24" s="575"/>
      <c r="EP24" s="575"/>
      <c r="EQ24" s="575"/>
      <c r="ER24" s="576"/>
      <c r="ES24" s="574">
        <v>0</v>
      </c>
      <c r="ET24" s="575"/>
      <c r="EU24" s="575"/>
      <c r="EV24" s="575"/>
      <c r="EW24" s="575"/>
      <c r="EX24" s="575"/>
      <c r="EY24" s="575"/>
      <c r="EZ24" s="575"/>
      <c r="FA24" s="575"/>
      <c r="FB24" s="575"/>
      <c r="FC24" s="575"/>
      <c r="FD24" s="575"/>
      <c r="FE24" s="576"/>
      <c r="FF24" s="577"/>
      <c r="FG24" s="578"/>
      <c r="FH24" s="578"/>
      <c r="FI24" s="578"/>
      <c r="FJ24" s="578"/>
      <c r="FK24" s="578"/>
      <c r="FL24" s="578"/>
      <c r="FM24" s="578"/>
      <c r="FN24" s="578"/>
      <c r="FO24" s="578"/>
      <c r="FP24" s="578"/>
      <c r="FQ24" s="578"/>
      <c r="FR24" s="579"/>
    </row>
    <row r="25" spans="1:174" ht="12" customHeight="1" x14ac:dyDescent="0.2">
      <c r="A25" s="566" t="s">
        <v>333</v>
      </c>
      <c r="B25" s="566"/>
      <c r="C25" s="566"/>
      <c r="D25" s="566"/>
      <c r="E25" s="566"/>
      <c r="F25" s="566"/>
      <c r="G25" s="566"/>
      <c r="H25" s="567"/>
      <c r="I25" s="613" t="s">
        <v>406</v>
      </c>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4"/>
      <c r="AN25" s="614"/>
      <c r="AO25" s="614"/>
      <c r="AP25" s="614"/>
      <c r="AQ25" s="614"/>
      <c r="AR25" s="614"/>
      <c r="AS25" s="614"/>
      <c r="AT25" s="614"/>
      <c r="AU25" s="614"/>
      <c r="AV25" s="614"/>
      <c r="AW25" s="614"/>
      <c r="AX25" s="614"/>
      <c r="AY25" s="614"/>
      <c r="AZ25" s="614"/>
      <c r="BA25" s="614"/>
      <c r="BB25" s="614"/>
      <c r="BC25" s="614"/>
      <c r="BD25" s="614"/>
      <c r="BE25" s="614"/>
      <c r="BF25" s="614"/>
      <c r="BG25" s="614"/>
      <c r="BH25" s="614"/>
      <c r="BI25" s="614"/>
      <c r="BJ25" s="614"/>
      <c r="BK25" s="614"/>
      <c r="BL25" s="614"/>
      <c r="BM25" s="614"/>
      <c r="BN25" s="614"/>
      <c r="BO25" s="614"/>
      <c r="BP25" s="614"/>
      <c r="BQ25" s="614"/>
      <c r="BR25" s="614"/>
      <c r="BS25" s="614"/>
      <c r="BT25" s="614"/>
      <c r="BU25" s="614"/>
      <c r="BV25" s="614"/>
      <c r="BW25" s="614"/>
      <c r="BX25" s="614"/>
      <c r="BY25" s="614"/>
      <c r="BZ25" s="614"/>
      <c r="CA25" s="614"/>
      <c r="CB25" s="614"/>
      <c r="CC25" s="614"/>
      <c r="CD25" s="614"/>
      <c r="CE25" s="614"/>
      <c r="CF25" s="614"/>
      <c r="CG25" s="614"/>
      <c r="CH25" s="614"/>
      <c r="CI25" s="614"/>
      <c r="CJ25" s="614"/>
      <c r="CK25" s="614"/>
      <c r="CL25" s="614"/>
      <c r="CM25" s="615"/>
      <c r="CN25" s="571" t="s">
        <v>334</v>
      </c>
      <c r="CO25" s="566"/>
      <c r="CP25" s="566"/>
      <c r="CQ25" s="566"/>
      <c r="CR25" s="566"/>
      <c r="CS25" s="566"/>
      <c r="CT25" s="566"/>
      <c r="CU25" s="567"/>
      <c r="CV25" s="572" t="s">
        <v>190</v>
      </c>
      <c r="CW25" s="566"/>
      <c r="CX25" s="566"/>
      <c r="CY25" s="566"/>
      <c r="CZ25" s="566"/>
      <c r="DA25" s="566"/>
      <c r="DB25" s="566"/>
      <c r="DC25" s="566"/>
      <c r="DD25" s="566"/>
      <c r="DE25" s="567"/>
      <c r="DF25" s="601"/>
      <c r="DG25" s="602"/>
      <c r="DH25" s="602"/>
      <c r="DI25" s="602"/>
      <c r="DJ25" s="602"/>
      <c r="DK25" s="602"/>
      <c r="DL25" s="602"/>
      <c r="DM25" s="602"/>
      <c r="DN25" s="602"/>
      <c r="DO25" s="602"/>
      <c r="DP25" s="602"/>
      <c r="DQ25" s="602"/>
      <c r="DR25" s="603"/>
      <c r="DS25" s="574">
        <v>0</v>
      </c>
      <c r="DT25" s="575"/>
      <c r="DU25" s="575"/>
      <c r="DV25" s="575"/>
      <c r="DW25" s="575"/>
      <c r="DX25" s="575"/>
      <c r="DY25" s="575"/>
      <c r="DZ25" s="575"/>
      <c r="EA25" s="575"/>
      <c r="EB25" s="575"/>
      <c r="EC25" s="575"/>
      <c r="ED25" s="575"/>
      <c r="EE25" s="576"/>
      <c r="EF25" s="574">
        <v>0</v>
      </c>
      <c r="EG25" s="575"/>
      <c r="EH25" s="575"/>
      <c r="EI25" s="575"/>
      <c r="EJ25" s="575"/>
      <c r="EK25" s="575"/>
      <c r="EL25" s="575"/>
      <c r="EM25" s="575"/>
      <c r="EN25" s="575"/>
      <c r="EO25" s="575"/>
      <c r="EP25" s="575"/>
      <c r="EQ25" s="575"/>
      <c r="ER25" s="576"/>
      <c r="ES25" s="574">
        <v>0</v>
      </c>
      <c r="ET25" s="575"/>
      <c r="EU25" s="575"/>
      <c r="EV25" s="575"/>
      <c r="EW25" s="575"/>
      <c r="EX25" s="575"/>
      <c r="EY25" s="575"/>
      <c r="EZ25" s="575"/>
      <c r="FA25" s="575"/>
      <c r="FB25" s="575"/>
      <c r="FC25" s="575"/>
      <c r="FD25" s="575"/>
      <c r="FE25" s="576"/>
      <c r="FF25" s="577"/>
      <c r="FG25" s="578"/>
      <c r="FH25" s="578"/>
      <c r="FI25" s="578"/>
      <c r="FJ25" s="578"/>
      <c r="FK25" s="578"/>
      <c r="FL25" s="578"/>
      <c r="FM25" s="578"/>
      <c r="FN25" s="578"/>
      <c r="FO25" s="578"/>
      <c r="FP25" s="578"/>
      <c r="FQ25" s="578"/>
      <c r="FR25" s="579"/>
    </row>
    <row r="26" spans="1:174" ht="12" customHeight="1" x14ac:dyDescent="0.2">
      <c r="A26" s="566" t="s">
        <v>335</v>
      </c>
      <c r="B26" s="566"/>
      <c r="C26" s="566"/>
      <c r="D26" s="566"/>
      <c r="E26" s="566"/>
      <c r="F26" s="566"/>
      <c r="G26" s="566"/>
      <c r="H26" s="567"/>
      <c r="I26" s="613" t="s">
        <v>336</v>
      </c>
      <c r="J26" s="614"/>
      <c r="K26" s="614"/>
      <c r="L26" s="614"/>
      <c r="M26" s="614"/>
      <c r="N26" s="614"/>
      <c r="O26" s="614"/>
      <c r="P26" s="614"/>
      <c r="Q26" s="614"/>
      <c r="R26" s="614"/>
      <c r="S26" s="614"/>
      <c r="T26" s="614"/>
      <c r="U26" s="614"/>
      <c r="V26" s="614"/>
      <c r="W26" s="614"/>
      <c r="X26" s="614"/>
      <c r="Y26" s="614"/>
      <c r="Z26" s="614"/>
      <c r="AA26" s="614"/>
      <c r="AB26" s="614"/>
      <c r="AC26" s="614"/>
      <c r="AD26" s="614"/>
      <c r="AE26" s="614"/>
      <c r="AF26" s="614"/>
      <c r="AG26" s="614"/>
      <c r="AH26" s="614"/>
      <c r="AI26" s="614"/>
      <c r="AJ26" s="614"/>
      <c r="AK26" s="614"/>
      <c r="AL26" s="614"/>
      <c r="AM26" s="614"/>
      <c r="AN26" s="614"/>
      <c r="AO26" s="614"/>
      <c r="AP26" s="614"/>
      <c r="AQ26" s="614"/>
      <c r="AR26" s="614"/>
      <c r="AS26" s="614"/>
      <c r="AT26" s="614"/>
      <c r="AU26" s="614"/>
      <c r="AV26" s="614"/>
      <c r="AW26" s="614"/>
      <c r="AX26" s="614"/>
      <c r="AY26" s="614"/>
      <c r="AZ26" s="614"/>
      <c r="BA26" s="614"/>
      <c r="BB26" s="614"/>
      <c r="BC26" s="614"/>
      <c r="BD26" s="614"/>
      <c r="BE26" s="614"/>
      <c r="BF26" s="614"/>
      <c r="BG26" s="614"/>
      <c r="BH26" s="614"/>
      <c r="BI26" s="614"/>
      <c r="BJ26" s="614"/>
      <c r="BK26" s="614"/>
      <c r="BL26" s="614"/>
      <c r="BM26" s="614"/>
      <c r="BN26" s="614"/>
      <c r="BO26" s="614"/>
      <c r="BP26" s="614"/>
      <c r="BQ26" s="614"/>
      <c r="BR26" s="614"/>
      <c r="BS26" s="614"/>
      <c r="BT26" s="614"/>
      <c r="BU26" s="614"/>
      <c r="BV26" s="614"/>
      <c r="BW26" s="614"/>
      <c r="BX26" s="614"/>
      <c r="BY26" s="614"/>
      <c r="BZ26" s="614"/>
      <c r="CA26" s="614"/>
      <c r="CB26" s="614"/>
      <c r="CC26" s="614"/>
      <c r="CD26" s="614"/>
      <c r="CE26" s="614"/>
      <c r="CF26" s="614"/>
      <c r="CG26" s="614"/>
      <c r="CH26" s="614"/>
      <c r="CI26" s="614"/>
      <c r="CJ26" s="614"/>
      <c r="CK26" s="614"/>
      <c r="CL26" s="614"/>
      <c r="CM26" s="615"/>
      <c r="CN26" s="571" t="s">
        <v>337</v>
      </c>
      <c r="CO26" s="566"/>
      <c r="CP26" s="566"/>
      <c r="CQ26" s="566"/>
      <c r="CR26" s="566"/>
      <c r="CS26" s="566"/>
      <c r="CT26" s="566"/>
      <c r="CU26" s="567"/>
      <c r="CV26" s="572" t="s">
        <v>190</v>
      </c>
      <c r="CW26" s="566"/>
      <c r="CX26" s="566"/>
      <c r="CY26" s="566"/>
      <c r="CZ26" s="566"/>
      <c r="DA26" s="566"/>
      <c r="DB26" s="566"/>
      <c r="DC26" s="566"/>
      <c r="DD26" s="566"/>
      <c r="DE26" s="567"/>
      <c r="DF26" s="601"/>
      <c r="DG26" s="602"/>
      <c r="DH26" s="602"/>
      <c r="DI26" s="602"/>
      <c r="DJ26" s="602"/>
      <c r="DK26" s="602"/>
      <c r="DL26" s="602"/>
      <c r="DM26" s="602"/>
      <c r="DN26" s="602"/>
      <c r="DO26" s="602"/>
      <c r="DP26" s="602"/>
      <c r="DQ26" s="602"/>
      <c r="DR26" s="603"/>
      <c r="DS26" s="574">
        <v>0</v>
      </c>
      <c r="DT26" s="575"/>
      <c r="DU26" s="575"/>
      <c r="DV26" s="575"/>
      <c r="DW26" s="575"/>
      <c r="DX26" s="575"/>
      <c r="DY26" s="575"/>
      <c r="DZ26" s="575"/>
      <c r="EA26" s="575"/>
      <c r="EB26" s="575"/>
      <c r="EC26" s="575"/>
      <c r="ED26" s="575"/>
      <c r="EE26" s="576"/>
      <c r="EF26" s="574">
        <v>0</v>
      </c>
      <c r="EG26" s="575"/>
      <c r="EH26" s="575"/>
      <c r="EI26" s="575"/>
      <c r="EJ26" s="575"/>
      <c r="EK26" s="575"/>
      <c r="EL26" s="575"/>
      <c r="EM26" s="575"/>
      <c r="EN26" s="575"/>
      <c r="EO26" s="575"/>
      <c r="EP26" s="575"/>
      <c r="EQ26" s="575"/>
      <c r="ER26" s="576"/>
      <c r="ES26" s="574">
        <v>0</v>
      </c>
      <c r="ET26" s="575"/>
      <c r="EU26" s="575"/>
      <c r="EV26" s="575"/>
      <c r="EW26" s="575"/>
      <c r="EX26" s="575"/>
      <c r="EY26" s="575"/>
      <c r="EZ26" s="575"/>
      <c r="FA26" s="575"/>
      <c r="FB26" s="575"/>
      <c r="FC26" s="575"/>
      <c r="FD26" s="575"/>
      <c r="FE26" s="576"/>
      <c r="FF26" s="577"/>
      <c r="FG26" s="578"/>
      <c r="FH26" s="578"/>
      <c r="FI26" s="578"/>
      <c r="FJ26" s="578"/>
      <c r="FK26" s="578"/>
      <c r="FL26" s="578"/>
      <c r="FM26" s="578"/>
      <c r="FN26" s="578"/>
      <c r="FO26" s="578"/>
      <c r="FP26" s="578"/>
      <c r="FQ26" s="578"/>
      <c r="FR26" s="579"/>
    </row>
    <row r="27" spans="1:174" ht="12" customHeight="1" x14ac:dyDescent="0.2">
      <c r="A27" s="566" t="s">
        <v>330</v>
      </c>
      <c r="B27" s="566"/>
      <c r="C27" s="566"/>
      <c r="D27" s="566"/>
      <c r="E27" s="566"/>
      <c r="F27" s="566"/>
      <c r="G27" s="566"/>
      <c r="H27" s="567"/>
      <c r="I27" s="610" t="s">
        <v>338</v>
      </c>
      <c r="J27" s="611"/>
      <c r="K27" s="611"/>
      <c r="L27" s="611"/>
      <c r="M27" s="611"/>
      <c r="N27" s="611"/>
      <c r="O27" s="611"/>
      <c r="P27" s="611"/>
      <c r="Q27" s="611"/>
      <c r="R27" s="611"/>
      <c r="S27" s="611"/>
      <c r="T27" s="611"/>
      <c r="U27" s="611"/>
      <c r="V27" s="611"/>
      <c r="W27" s="611"/>
      <c r="X27" s="611"/>
      <c r="Y27" s="611"/>
      <c r="Z27" s="611"/>
      <c r="AA27" s="611"/>
      <c r="AB27" s="611"/>
      <c r="AC27" s="611"/>
      <c r="AD27" s="611"/>
      <c r="AE27" s="611"/>
      <c r="AF27" s="611"/>
      <c r="AG27" s="611"/>
      <c r="AH27" s="611"/>
      <c r="AI27" s="611"/>
      <c r="AJ27" s="611"/>
      <c r="AK27" s="611"/>
      <c r="AL27" s="611"/>
      <c r="AM27" s="611"/>
      <c r="AN27" s="611"/>
      <c r="AO27" s="611"/>
      <c r="AP27" s="611"/>
      <c r="AQ27" s="611"/>
      <c r="AR27" s="611"/>
      <c r="AS27" s="611"/>
      <c r="AT27" s="611"/>
      <c r="AU27" s="611"/>
      <c r="AV27" s="611"/>
      <c r="AW27" s="611"/>
      <c r="AX27" s="611"/>
      <c r="AY27" s="611"/>
      <c r="AZ27" s="611"/>
      <c r="BA27" s="611"/>
      <c r="BB27" s="611"/>
      <c r="BC27" s="611"/>
      <c r="BD27" s="611"/>
      <c r="BE27" s="611"/>
      <c r="BF27" s="611"/>
      <c r="BG27" s="611"/>
      <c r="BH27" s="611"/>
      <c r="BI27" s="611"/>
      <c r="BJ27" s="611"/>
      <c r="BK27" s="611"/>
      <c r="BL27" s="611"/>
      <c r="BM27" s="611"/>
      <c r="BN27" s="611"/>
      <c r="BO27" s="611"/>
      <c r="BP27" s="611"/>
      <c r="BQ27" s="611"/>
      <c r="BR27" s="611"/>
      <c r="BS27" s="611"/>
      <c r="BT27" s="611"/>
      <c r="BU27" s="611"/>
      <c r="BV27" s="611"/>
      <c r="BW27" s="611"/>
      <c r="BX27" s="611"/>
      <c r="BY27" s="611"/>
      <c r="BZ27" s="611"/>
      <c r="CA27" s="611"/>
      <c r="CB27" s="611"/>
      <c r="CC27" s="611"/>
      <c r="CD27" s="611"/>
      <c r="CE27" s="611"/>
      <c r="CF27" s="611"/>
      <c r="CG27" s="611"/>
      <c r="CH27" s="611"/>
      <c r="CI27" s="611"/>
      <c r="CJ27" s="611"/>
      <c r="CK27" s="611"/>
      <c r="CL27" s="611"/>
      <c r="CM27" s="612"/>
      <c r="CN27" s="571" t="s">
        <v>339</v>
      </c>
      <c r="CO27" s="566"/>
      <c r="CP27" s="566"/>
      <c r="CQ27" s="566"/>
      <c r="CR27" s="566"/>
      <c r="CS27" s="566"/>
      <c r="CT27" s="566"/>
      <c r="CU27" s="567"/>
      <c r="CV27" s="572" t="s">
        <v>190</v>
      </c>
      <c r="CW27" s="566"/>
      <c r="CX27" s="566"/>
      <c r="CY27" s="566"/>
      <c r="CZ27" s="566"/>
      <c r="DA27" s="566"/>
      <c r="DB27" s="566"/>
      <c r="DC27" s="566"/>
      <c r="DD27" s="566"/>
      <c r="DE27" s="567"/>
      <c r="DF27" s="601" t="s">
        <v>404</v>
      </c>
      <c r="DG27" s="602"/>
      <c r="DH27" s="602"/>
      <c r="DI27" s="602"/>
      <c r="DJ27" s="602"/>
      <c r="DK27" s="602"/>
      <c r="DL27" s="602"/>
      <c r="DM27" s="602"/>
      <c r="DN27" s="602"/>
      <c r="DO27" s="602"/>
      <c r="DP27" s="602"/>
      <c r="DQ27" s="602"/>
      <c r="DR27" s="603"/>
      <c r="DS27" s="574">
        <v>3990792.19</v>
      </c>
      <c r="DT27" s="575"/>
      <c r="DU27" s="575"/>
      <c r="DV27" s="575"/>
      <c r="DW27" s="575"/>
      <c r="DX27" s="575"/>
      <c r="DY27" s="575"/>
      <c r="DZ27" s="575"/>
      <c r="EA27" s="575"/>
      <c r="EB27" s="575"/>
      <c r="EC27" s="575"/>
      <c r="ED27" s="575"/>
      <c r="EE27" s="576"/>
      <c r="EF27" s="574">
        <v>3215000.48</v>
      </c>
      <c r="EG27" s="575"/>
      <c r="EH27" s="575"/>
      <c r="EI27" s="575"/>
      <c r="EJ27" s="575"/>
      <c r="EK27" s="575"/>
      <c r="EL27" s="575"/>
      <c r="EM27" s="575"/>
      <c r="EN27" s="575"/>
      <c r="EO27" s="575"/>
      <c r="EP27" s="575"/>
      <c r="EQ27" s="575"/>
      <c r="ER27" s="576"/>
      <c r="ES27" s="574">
        <v>3756018.27</v>
      </c>
      <c r="ET27" s="575"/>
      <c r="EU27" s="575"/>
      <c r="EV27" s="575"/>
      <c r="EW27" s="575"/>
      <c r="EX27" s="575"/>
      <c r="EY27" s="575"/>
      <c r="EZ27" s="575"/>
      <c r="FA27" s="575"/>
      <c r="FB27" s="575"/>
      <c r="FC27" s="575"/>
      <c r="FD27" s="575"/>
      <c r="FE27" s="576"/>
      <c r="FF27" s="577"/>
      <c r="FG27" s="578"/>
      <c r="FH27" s="578"/>
      <c r="FI27" s="578"/>
      <c r="FJ27" s="578"/>
      <c r="FK27" s="578"/>
      <c r="FL27" s="578"/>
      <c r="FM27" s="578"/>
      <c r="FN27" s="578"/>
      <c r="FO27" s="578"/>
      <c r="FP27" s="578"/>
      <c r="FQ27" s="578"/>
      <c r="FR27" s="579"/>
    </row>
    <row r="28" spans="1:174" ht="12" customHeight="1" x14ac:dyDescent="0.2">
      <c r="A28" s="566" t="s">
        <v>333</v>
      </c>
      <c r="B28" s="566"/>
      <c r="C28" s="566"/>
      <c r="D28" s="566"/>
      <c r="E28" s="566"/>
      <c r="F28" s="566"/>
      <c r="G28" s="566"/>
      <c r="H28" s="567"/>
      <c r="I28" s="613" t="s">
        <v>315</v>
      </c>
      <c r="J28" s="614"/>
      <c r="K28" s="614"/>
      <c r="L28" s="614"/>
      <c r="M28" s="614"/>
      <c r="N28" s="614"/>
      <c r="O28" s="614"/>
      <c r="P28" s="614"/>
      <c r="Q28" s="614"/>
      <c r="R28" s="614"/>
      <c r="S28" s="614"/>
      <c r="T28" s="614"/>
      <c r="U28" s="614"/>
      <c r="V28" s="614"/>
      <c r="W28" s="614"/>
      <c r="X28" s="614"/>
      <c r="Y28" s="614"/>
      <c r="Z28" s="614"/>
      <c r="AA28" s="614"/>
      <c r="AB28" s="614"/>
      <c r="AC28" s="614"/>
      <c r="AD28" s="614"/>
      <c r="AE28" s="614"/>
      <c r="AF28" s="614"/>
      <c r="AG28" s="614"/>
      <c r="AH28" s="614"/>
      <c r="AI28" s="614"/>
      <c r="AJ28" s="614"/>
      <c r="AK28" s="614"/>
      <c r="AL28" s="614"/>
      <c r="AM28" s="614"/>
      <c r="AN28" s="614"/>
      <c r="AO28" s="614"/>
      <c r="AP28" s="614"/>
      <c r="AQ28" s="614"/>
      <c r="AR28" s="614"/>
      <c r="AS28" s="614"/>
      <c r="AT28" s="614"/>
      <c r="AU28" s="614"/>
      <c r="AV28" s="614"/>
      <c r="AW28" s="614"/>
      <c r="AX28" s="614"/>
      <c r="AY28" s="614"/>
      <c r="AZ28" s="614"/>
      <c r="BA28" s="614"/>
      <c r="BB28" s="614"/>
      <c r="BC28" s="614"/>
      <c r="BD28" s="614"/>
      <c r="BE28" s="614"/>
      <c r="BF28" s="614"/>
      <c r="BG28" s="614"/>
      <c r="BH28" s="614"/>
      <c r="BI28" s="614"/>
      <c r="BJ28" s="614"/>
      <c r="BK28" s="614"/>
      <c r="BL28" s="614"/>
      <c r="BM28" s="614"/>
      <c r="BN28" s="614"/>
      <c r="BO28" s="614"/>
      <c r="BP28" s="614"/>
      <c r="BQ28" s="614"/>
      <c r="BR28" s="614"/>
      <c r="BS28" s="614"/>
      <c r="BT28" s="614"/>
      <c r="BU28" s="614"/>
      <c r="BV28" s="614"/>
      <c r="BW28" s="614"/>
      <c r="BX28" s="614"/>
      <c r="BY28" s="614"/>
      <c r="BZ28" s="614"/>
      <c r="CA28" s="614"/>
      <c r="CB28" s="614"/>
      <c r="CC28" s="614"/>
      <c r="CD28" s="614"/>
      <c r="CE28" s="614"/>
      <c r="CF28" s="614"/>
      <c r="CG28" s="614"/>
      <c r="CH28" s="614"/>
      <c r="CI28" s="614"/>
      <c r="CJ28" s="614"/>
      <c r="CK28" s="614"/>
      <c r="CL28" s="614"/>
      <c r="CM28" s="615"/>
      <c r="CN28" s="571" t="s">
        <v>340</v>
      </c>
      <c r="CO28" s="566"/>
      <c r="CP28" s="566"/>
      <c r="CQ28" s="566"/>
      <c r="CR28" s="566"/>
      <c r="CS28" s="566"/>
      <c r="CT28" s="566"/>
      <c r="CU28" s="567"/>
      <c r="CV28" s="572" t="s">
        <v>190</v>
      </c>
      <c r="CW28" s="566"/>
      <c r="CX28" s="566"/>
      <c r="CY28" s="566"/>
      <c r="CZ28" s="566"/>
      <c r="DA28" s="566"/>
      <c r="DB28" s="566"/>
      <c r="DC28" s="566"/>
      <c r="DD28" s="566"/>
      <c r="DE28" s="567"/>
      <c r="DF28" s="601" t="s">
        <v>404</v>
      </c>
      <c r="DG28" s="602"/>
      <c r="DH28" s="602"/>
      <c r="DI28" s="602"/>
      <c r="DJ28" s="602"/>
      <c r="DK28" s="602"/>
      <c r="DL28" s="602"/>
      <c r="DM28" s="602"/>
      <c r="DN28" s="602"/>
      <c r="DO28" s="602"/>
      <c r="DP28" s="602"/>
      <c r="DQ28" s="602"/>
      <c r="DR28" s="603"/>
      <c r="DS28" s="574">
        <f>DS27</f>
        <v>3990792.19</v>
      </c>
      <c r="DT28" s="575"/>
      <c r="DU28" s="575"/>
      <c r="DV28" s="575"/>
      <c r="DW28" s="575"/>
      <c r="DX28" s="575"/>
      <c r="DY28" s="575"/>
      <c r="DZ28" s="575"/>
      <c r="EA28" s="575"/>
      <c r="EB28" s="575"/>
      <c r="EC28" s="575"/>
      <c r="ED28" s="575"/>
      <c r="EE28" s="576"/>
      <c r="EF28" s="574">
        <f>EF27</f>
        <v>3215000.48</v>
      </c>
      <c r="EG28" s="575"/>
      <c r="EH28" s="575"/>
      <c r="EI28" s="575"/>
      <c r="EJ28" s="575"/>
      <c r="EK28" s="575"/>
      <c r="EL28" s="575"/>
      <c r="EM28" s="575"/>
      <c r="EN28" s="575"/>
      <c r="EO28" s="575"/>
      <c r="EP28" s="575"/>
      <c r="EQ28" s="575"/>
      <c r="ER28" s="576"/>
      <c r="ES28" s="574">
        <f>ES27</f>
        <v>3756018.27</v>
      </c>
      <c r="ET28" s="575"/>
      <c r="EU28" s="575"/>
      <c r="EV28" s="575"/>
      <c r="EW28" s="575"/>
      <c r="EX28" s="575"/>
      <c r="EY28" s="575"/>
      <c r="EZ28" s="575"/>
      <c r="FA28" s="575"/>
      <c r="FB28" s="575"/>
      <c r="FC28" s="575"/>
      <c r="FD28" s="575"/>
      <c r="FE28" s="576"/>
      <c r="FF28" s="577"/>
      <c r="FG28" s="578"/>
      <c r="FH28" s="578"/>
      <c r="FI28" s="578"/>
      <c r="FJ28" s="578"/>
      <c r="FK28" s="578"/>
      <c r="FL28" s="578"/>
      <c r="FM28" s="578"/>
      <c r="FN28" s="578"/>
      <c r="FO28" s="578"/>
      <c r="FP28" s="578"/>
      <c r="FQ28" s="578"/>
      <c r="FR28" s="579"/>
    </row>
    <row r="29" spans="1:174" ht="12" customHeight="1" x14ac:dyDescent="0.2">
      <c r="A29" s="438"/>
      <c r="B29" s="438"/>
      <c r="C29" s="438"/>
      <c r="D29" s="438"/>
      <c r="E29" s="438"/>
      <c r="F29" s="438"/>
      <c r="G29" s="438"/>
      <c r="H29" s="439"/>
      <c r="I29" s="617" t="s">
        <v>407</v>
      </c>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618"/>
      <c r="AR29" s="618"/>
      <c r="AS29" s="618"/>
      <c r="AT29" s="618"/>
      <c r="AU29" s="618"/>
      <c r="AV29" s="618"/>
      <c r="AW29" s="618"/>
      <c r="AX29" s="618"/>
      <c r="AY29" s="618"/>
      <c r="AZ29" s="618"/>
      <c r="BA29" s="618"/>
      <c r="BB29" s="618"/>
      <c r="BC29" s="618"/>
      <c r="BD29" s="618"/>
      <c r="BE29" s="618"/>
      <c r="BF29" s="618"/>
      <c r="BG29" s="618"/>
      <c r="BH29" s="618"/>
      <c r="BI29" s="618"/>
      <c r="BJ29" s="618"/>
      <c r="BK29" s="618"/>
      <c r="BL29" s="618"/>
      <c r="BM29" s="618"/>
      <c r="BN29" s="618"/>
      <c r="BO29" s="618"/>
      <c r="BP29" s="618"/>
      <c r="BQ29" s="618"/>
      <c r="BR29" s="618"/>
      <c r="BS29" s="618"/>
      <c r="BT29" s="618"/>
      <c r="BU29" s="618"/>
      <c r="BV29" s="618"/>
      <c r="BW29" s="618"/>
      <c r="BX29" s="618"/>
      <c r="BY29" s="618"/>
      <c r="BZ29" s="618"/>
      <c r="CA29" s="618"/>
      <c r="CB29" s="618"/>
      <c r="CC29" s="618"/>
      <c r="CD29" s="618"/>
      <c r="CE29" s="618"/>
      <c r="CF29" s="618"/>
      <c r="CG29" s="618"/>
      <c r="CH29" s="618"/>
      <c r="CI29" s="618"/>
      <c r="CJ29" s="618"/>
      <c r="CK29" s="618"/>
      <c r="CL29" s="618"/>
      <c r="CM29" s="619"/>
      <c r="CN29" s="571" t="s">
        <v>383</v>
      </c>
      <c r="CO29" s="566"/>
      <c r="CP29" s="566"/>
      <c r="CQ29" s="566"/>
      <c r="CR29" s="566"/>
      <c r="CS29" s="566"/>
      <c r="CT29" s="566"/>
      <c r="CU29" s="567"/>
      <c r="CV29" s="572" t="s">
        <v>190</v>
      </c>
      <c r="CW29" s="566"/>
      <c r="CX29" s="566"/>
      <c r="CY29" s="566"/>
      <c r="CZ29" s="566"/>
      <c r="DA29" s="566"/>
      <c r="DB29" s="566"/>
      <c r="DC29" s="566"/>
      <c r="DD29" s="566"/>
      <c r="DE29" s="567"/>
      <c r="DF29" s="601"/>
      <c r="DG29" s="602"/>
      <c r="DH29" s="602"/>
      <c r="DI29" s="602"/>
      <c r="DJ29" s="602"/>
      <c r="DK29" s="602"/>
      <c r="DL29" s="602"/>
      <c r="DM29" s="602"/>
      <c r="DN29" s="602"/>
      <c r="DO29" s="602"/>
      <c r="DP29" s="602"/>
      <c r="DQ29" s="602"/>
      <c r="DR29" s="603"/>
      <c r="DS29" s="601"/>
      <c r="DT29" s="602"/>
      <c r="DU29" s="602"/>
      <c r="DV29" s="602"/>
      <c r="DW29" s="602"/>
      <c r="DX29" s="602"/>
      <c r="DY29" s="602"/>
      <c r="DZ29" s="602"/>
      <c r="EA29" s="602"/>
      <c r="EB29" s="602"/>
      <c r="EC29" s="602"/>
      <c r="ED29" s="602"/>
      <c r="EE29" s="603"/>
      <c r="EF29" s="601"/>
      <c r="EG29" s="602"/>
      <c r="EH29" s="602"/>
      <c r="EI29" s="602"/>
      <c r="EJ29" s="602"/>
      <c r="EK29" s="602"/>
      <c r="EL29" s="602"/>
      <c r="EM29" s="602"/>
      <c r="EN29" s="602"/>
      <c r="EO29" s="602"/>
      <c r="EP29" s="602"/>
      <c r="EQ29" s="602"/>
      <c r="ER29" s="603"/>
      <c r="ES29" s="601"/>
      <c r="ET29" s="602"/>
      <c r="EU29" s="602"/>
      <c r="EV29" s="602"/>
      <c r="EW29" s="602"/>
      <c r="EX29" s="602"/>
      <c r="EY29" s="602"/>
      <c r="EZ29" s="602"/>
      <c r="FA29" s="602"/>
      <c r="FB29" s="602"/>
      <c r="FC29" s="602"/>
      <c r="FD29" s="602"/>
      <c r="FE29" s="603"/>
      <c r="FF29" s="433"/>
      <c r="FG29" s="434"/>
      <c r="FH29" s="434"/>
      <c r="FI29" s="434"/>
      <c r="FJ29" s="434"/>
      <c r="FK29" s="434"/>
      <c r="FL29" s="434"/>
      <c r="FM29" s="434"/>
      <c r="FN29" s="434"/>
      <c r="FO29" s="434"/>
      <c r="FP29" s="434"/>
      <c r="FQ29" s="434"/>
      <c r="FR29" s="382"/>
    </row>
    <row r="30" spans="1:174" ht="12" customHeight="1" x14ac:dyDescent="0.2">
      <c r="A30" s="566" t="s">
        <v>335</v>
      </c>
      <c r="B30" s="566"/>
      <c r="C30" s="566"/>
      <c r="D30" s="566"/>
      <c r="E30" s="566"/>
      <c r="F30" s="566"/>
      <c r="G30" s="566"/>
      <c r="H30" s="567"/>
      <c r="I30" s="613" t="s">
        <v>341</v>
      </c>
      <c r="J30" s="614"/>
      <c r="K30" s="614"/>
      <c r="L30" s="614"/>
      <c r="M30" s="614"/>
      <c r="N30" s="614"/>
      <c r="O30" s="614"/>
      <c r="P30" s="614"/>
      <c r="Q30" s="614"/>
      <c r="R30" s="614"/>
      <c r="S30" s="614"/>
      <c r="T30" s="614"/>
      <c r="U30" s="614"/>
      <c r="V30" s="614"/>
      <c r="W30" s="614"/>
      <c r="X30" s="614"/>
      <c r="Y30" s="614"/>
      <c r="Z30" s="614"/>
      <c r="AA30" s="614"/>
      <c r="AB30" s="614"/>
      <c r="AC30" s="614"/>
      <c r="AD30" s="614"/>
      <c r="AE30" s="614"/>
      <c r="AF30" s="614"/>
      <c r="AG30" s="614"/>
      <c r="AH30" s="614"/>
      <c r="AI30" s="614"/>
      <c r="AJ30" s="614"/>
      <c r="AK30" s="614"/>
      <c r="AL30" s="614"/>
      <c r="AM30" s="614"/>
      <c r="AN30" s="614"/>
      <c r="AO30" s="614"/>
      <c r="AP30" s="614"/>
      <c r="AQ30" s="614"/>
      <c r="AR30" s="614"/>
      <c r="AS30" s="614"/>
      <c r="AT30" s="614"/>
      <c r="AU30" s="614"/>
      <c r="AV30" s="614"/>
      <c r="AW30" s="614"/>
      <c r="AX30" s="614"/>
      <c r="AY30" s="614"/>
      <c r="AZ30" s="614"/>
      <c r="BA30" s="614"/>
      <c r="BB30" s="614"/>
      <c r="BC30" s="614"/>
      <c r="BD30" s="614"/>
      <c r="BE30" s="614"/>
      <c r="BF30" s="614"/>
      <c r="BG30" s="614"/>
      <c r="BH30" s="614"/>
      <c r="BI30" s="614"/>
      <c r="BJ30" s="614"/>
      <c r="BK30" s="614"/>
      <c r="BL30" s="614"/>
      <c r="BM30" s="614"/>
      <c r="BN30" s="614"/>
      <c r="BO30" s="614"/>
      <c r="BP30" s="614"/>
      <c r="BQ30" s="614"/>
      <c r="BR30" s="614"/>
      <c r="BS30" s="614"/>
      <c r="BT30" s="614"/>
      <c r="BU30" s="614"/>
      <c r="BV30" s="614"/>
      <c r="BW30" s="614"/>
      <c r="BX30" s="614"/>
      <c r="BY30" s="614"/>
      <c r="BZ30" s="614"/>
      <c r="CA30" s="614"/>
      <c r="CB30" s="614"/>
      <c r="CC30" s="614"/>
      <c r="CD30" s="614"/>
      <c r="CE30" s="614"/>
      <c r="CF30" s="614"/>
      <c r="CG30" s="614"/>
      <c r="CH30" s="614"/>
      <c r="CI30" s="614"/>
      <c r="CJ30" s="614"/>
      <c r="CK30" s="614"/>
      <c r="CL30" s="614"/>
      <c r="CM30" s="615"/>
      <c r="CN30" s="571" t="s">
        <v>342</v>
      </c>
      <c r="CO30" s="566"/>
      <c r="CP30" s="566"/>
      <c r="CQ30" s="566"/>
      <c r="CR30" s="566"/>
      <c r="CS30" s="566"/>
      <c r="CT30" s="566"/>
      <c r="CU30" s="567"/>
      <c r="CV30" s="572" t="s">
        <v>190</v>
      </c>
      <c r="CW30" s="566"/>
      <c r="CX30" s="566"/>
      <c r="CY30" s="566"/>
      <c r="CZ30" s="566"/>
      <c r="DA30" s="566"/>
      <c r="DB30" s="566"/>
      <c r="DC30" s="566"/>
      <c r="DD30" s="566"/>
      <c r="DE30" s="567"/>
      <c r="DF30" s="601"/>
      <c r="DG30" s="602"/>
      <c r="DH30" s="602"/>
      <c r="DI30" s="602"/>
      <c r="DJ30" s="602"/>
      <c r="DK30" s="602"/>
      <c r="DL30" s="602"/>
      <c r="DM30" s="602"/>
      <c r="DN30" s="602"/>
      <c r="DO30" s="602"/>
      <c r="DP30" s="602"/>
      <c r="DQ30" s="602"/>
      <c r="DR30" s="603"/>
      <c r="DS30" s="601"/>
      <c r="DT30" s="602"/>
      <c r="DU30" s="602"/>
      <c r="DV30" s="602"/>
      <c r="DW30" s="602"/>
      <c r="DX30" s="602"/>
      <c r="DY30" s="602"/>
      <c r="DZ30" s="602"/>
      <c r="EA30" s="602"/>
      <c r="EB30" s="602"/>
      <c r="EC30" s="602"/>
      <c r="ED30" s="602"/>
      <c r="EE30" s="603"/>
      <c r="EF30" s="601"/>
      <c r="EG30" s="602"/>
      <c r="EH30" s="602"/>
      <c r="EI30" s="602"/>
      <c r="EJ30" s="602"/>
      <c r="EK30" s="602"/>
      <c r="EL30" s="602"/>
      <c r="EM30" s="602"/>
      <c r="EN30" s="602"/>
      <c r="EO30" s="602"/>
      <c r="EP30" s="602"/>
      <c r="EQ30" s="602"/>
      <c r="ER30" s="603"/>
      <c r="ES30" s="601"/>
      <c r="ET30" s="602"/>
      <c r="EU30" s="602"/>
      <c r="EV30" s="602"/>
      <c r="EW30" s="602"/>
      <c r="EX30" s="602"/>
      <c r="EY30" s="602"/>
      <c r="EZ30" s="602"/>
      <c r="FA30" s="602"/>
      <c r="FB30" s="602"/>
      <c r="FC30" s="602"/>
      <c r="FD30" s="602"/>
      <c r="FE30" s="603"/>
      <c r="FF30" s="577"/>
      <c r="FG30" s="578"/>
      <c r="FH30" s="578"/>
      <c r="FI30" s="578"/>
      <c r="FJ30" s="578"/>
      <c r="FK30" s="578"/>
      <c r="FL30" s="578"/>
      <c r="FM30" s="578"/>
      <c r="FN30" s="578"/>
      <c r="FO30" s="578"/>
      <c r="FP30" s="578"/>
      <c r="FQ30" s="578"/>
      <c r="FR30" s="579"/>
    </row>
    <row r="31" spans="1:174" ht="23.25" customHeight="1" x14ac:dyDescent="0.2">
      <c r="A31" s="566" t="s">
        <v>296</v>
      </c>
      <c r="B31" s="566"/>
      <c r="C31" s="566"/>
      <c r="D31" s="566"/>
      <c r="E31" s="566"/>
      <c r="F31" s="566"/>
      <c r="G31" s="566"/>
      <c r="H31" s="567"/>
      <c r="I31" s="620" t="s">
        <v>343</v>
      </c>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c r="AM31" s="621"/>
      <c r="AN31" s="621"/>
      <c r="AO31" s="621"/>
      <c r="AP31" s="621"/>
      <c r="AQ31" s="621"/>
      <c r="AR31" s="621"/>
      <c r="AS31" s="621"/>
      <c r="AT31" s="621"/>
      <c r="AU31" s="621"/>
      <c r="AV31" s="621"/>
      <c r="AW31" s="621"/>
      <c r="AX31" s="621"/>
      <c r="AY31" s="621"/>
      <c r="AZ31" s="621"/>
      <c r="BA31" s="621"/>
      <c r="BB31" s="621"/>
      <c r="BC31" s="621"/>
      <c r="BD31" s="621"/>
      <c r="BE31" s="621"/>
      <c r="BF31" s="621"/>
      <c r="BG31" s="621"/>
      <c r="BH31" s="621"/>
      <c r="BI31" s="621"/>
      <c r="BJ31" s="621"/>
      <c r="BK31" s="621"/>
      <c r="BL31" s="621"/>
      <c r="BM31" s="621"/>
      <c r="BN31" s="621"/>
      <c r="BO31" s="621"/>
      <c r="BP31" s="621"/>
      <c r="BQ31" s="621"/>
      <c r="BR31" s="621"/>
      <c r="BS31" s="621"/>
      <c r="BT31" s="621"/>
      <c r="BU31" s="621"/>
      <c r="BV31" s="621"/>
      <c r="BW31" s="621"/>
      <c r="BX31" s="621"/>
      <c r="BY31" s="621"/>
      <c r="BZ31" s="621"/>
      <c r="CA31" s="621"/>
      <c r="CB31" s="621"/>
      <c r="CC31" s="621"/>
      <c r="CD31" s="621"/>
      <c r="CE31" s="621"/>
      <c r="CF31" s="621"/>
      <c r="CG31" s="621"/>
      <c r="CH31" s="621"/>
      <c r="CI31" s="621"/>
      <c r="CJ31" s="621"/>
      <c r="CK31" s="621"/>
      <c r="CL31" s="621"/>
      <c r="CM31" s="622"/>
      <c r="CN31" s="571" t="s">
        <v>344</v>
      </c>
      <c r="CO31" s="566"/>
      <c r="CP31" s="566"/>
      <c r="CQ31" s="566"/>
      <c r="CR31" s="566"/>
      <c r="CS31" s="566"/>
      <c r="CT31" s="566"/>
      <c r="CU31" s="567"/>
      <c r="CV31" s="572" t="s">
        <v>190</v>
      </c>
      <c r="CW31" s="566"/>
      <c r="CX31" s="566"/>
      <c r="CY31" s="566"/>
      <c r="CZ31" s="566"/>
      <c r="DA31" s="566"/>
      <c r="DB31" s="566"/>
      <c r="DC31" s="566"/>
      <c r="DD31" s="566"/>
      <c r="DE31" s="567"/>
      <c r="DF31" s="572" t="s">
        <v>404</v>
      </c>
      <c r="DG31" s="566"/>
      <c r="DH31" s="566"/>
      <c r="DI31" s="566"/>
      <c r="DJ31" s="566"/>
      <c r="DK31" s="566"/>
      <c r="DL31" s="566"/>
      <c r="DM31" s="566"/>
      <c r="DN31" s="566"/>
      <c r="DO31" s="566"/>
      <c r="DP31" s="566"/>
      <c r="DQ31" s="566"/>
      <c r="DR31" s="567"/>
      <c r="DS31" s="623">
        <f>DS32+DS34</f>
        <v>11459491.73</v>
      </c>
      <c r="DT31" s="624"/>
      <c r="DU31" s="624"/>
      <c r="DV31" s="624"/>
      <c r="DW31" s="624"/>
      <c r="DX31" s="624"/>
      <c r="DY31" s="624"/>
      <c r="DZ31" s="624"/>
      <c r="EA31" s="624"/>
      <c r="EB31" s="624"/>
      <c r="EC31" s="624"/>
      <c r="ED31" s="624"/>
      <c r="EE31" s="625"/>
      <c r="EF31" s="623">
        <f>SUM(EF32:ER35)</f>
        <v>10533128.5</v>
      </c>
      <c r="EG31" s="624"/>
      <c r="EH31" s="624"/>
      <c r="EI31" s="624"/>
      <c r="EJ31" s="624"/>
      <c r="EK31" s="624"/>
      <c r="EL31" s="624"/>
      <c r="EM31" s="624"/>
      <c r="EN31" s="624"/>
      <c r="EO31" s="624"/>
      <c r="EP31" s="624"/>
      <c r="EQ31" s="624"/>
      <c r="ER31" s="625"/>
      <c r="ES31" s="623">
        <f>SUM(ES32:FE35)</f>
        <v>10940028.800000001</v>
      </c>
      <c r="ET31" s="624"/>
      <c r="EU31" s="624"/>
      <c r="EV31" s="624"/>
      <c r="EW31" s="624"/>
      <c r="EX31" s="624"/>
      <c r="EY31" s="624"/>
      <c r="EZ31" s="624"/>
      <c r="FA31" s="624"/>
      <c r="FB31" s="624"/>
      <c r="FC31" s="624"/>
      <c r="FD31" s="624"/>
      <c r="FE31" s="625"/>
      <c r="FF31" s="577"/>
      <c r="FG31" s="578"/>
      <c r="FH31" s="578"/>
      <c r="FI31" s="578"/>
      <c r="FJ31" s="578"/>
      <c r="FK31" s="578"/>
      <c r="FL31" s="578"/>
      <c r="FM31" s="578"/>
      <c r="FN31" s="578"/>
      <c r="FO31" s="578"/>
      <c r="FP31" s="578"/>
      <c r="FQ31" s="578"/>
      <c r="FR31" s="579"/>
    </row>
    <row r="32" spans="1:174" ht="12" customHeight="1" x14ac:dyDescent="0.2">
      <c r="A32" s="626"/>
      <c r="B32" s="626"/>
      <c r="C32" s="626"/>
      <c r="D32" s="626"/>
      <c r="E32" s="626"/>
      <c r="F32" s="626"/>
      <c r="G32" s="626"/>
      <c r="H32" s="627"/>
      <c r="I32" s="630" t="s">
        <v>345</v>
      </c>
      <c r="J32" s="631"/>
      <c r="K32" s="631"/>
      <c r="L32" s="631"/>
      <c r="M32" s="631"/>
      <c r="N32" s="631"/>
      <c r="O32" s="631"/>
      <c r="P32" s="631"/>
      <c r="Q32" s="631"/>
      <c r="R32" s="631"/>
      <c r="S32" s="631"/>
      <c r="T32" s="631"/>
      <c r="U32" s="631"/>
      <c r="V32" s="631"/>
      <c r="W32" s="631"/>
      <c r="X32" s="631"/>
      <c r="Y32" s="631"/>
      <c r="Z32" s="631"/>
      <c r="AA32" s="631"/>
      <c r="AB32" s="631"/>
      <c r="AC32" s="631"/>
      <c r="AD32" s="631"/>
      <c r="AE32" s="631"/>
      <c r="AF32" s="631"/>
      <c r="AG32" s="631"/>
      <c r="AH32" s="631"/>
      <c r="AI32" s="631"/>
      <c r="AJ32" s="631"/>
      <c r="AK32" s="631"/>
      <c r="AL32" s="631"/>
      <c r="AM32" s="631"/>
      <c r="AN32" s="631"/>
      <c r="AO32" s="631"/>
      <c r="AP32" s="631"/>
      <c r="AQ32" s="631"/>
      <c r="AR32" s="631"/>
      <c r="AS32" s="631"/>
      <c r="AT32" s="631"/>
      <c r="AU32" s="631"/>
      <c r="AV32" s="631"/>
      <c r="AW32" s="631"/>
      <c r="AX32" s="631"/>
      <c r="AY32" s="631"/>
      <c r="AZ32" s="631"/>
      <c r="BA32" s="631"/>
      <c r="BB32" s="631"/>
      <c r="BC32" s="631"/>
      <c r="BD32" s="631"/>
      <c r="BE32" s="631"/>
      <c r="BF32" s="631"/>
      <c r="BG32" s="631"/>
      <c r="BH32" s="631"/>
      <c r="BI32" s="631"/>
      <c r="BJ32" s="631"/>
      <c r="BK32" s="631"/>
      <c r="BL32" s="631"/>
      <c r="BM32" s="631"/>
      <c r="BN32" s="631"/>
      <c r="BO32" s="631"/>
      <c r="BP32" s="631"/>
      <c r="BQ32" s="631"/>
      <c r="BR32" s="631"/>
      <c r="BS32" s="631"/>
      <c r="BT32" s="631"/>
      <c r="BU32" s="631"/>
      <c r="BV32" s="631"/>
      <c r="BW32" s="631"/>
      <c r="BX32" s="631"/>
      <c r="BY32" s="631"/>
      <c r="BZ32" s="631"/>
      <c r="CA32" s="631"/>
      <c r="CB32" s="631"/>
      <c r="CC32" s="631"/>
      <c r="CD32" s="631"/>
      <c r="CE32" s="631"/>
      <c r="CF32" s="631"/>
      <c r="CG32" s="631"/>
      <c r="CH32" s="631"/>
      <c r="CI32" s="631"/>
      <c r="CJ32" s="631"/>
      <c r="CK32" s="631"/>
      <c r="CL32" s="631"/>
      <c r="CM32" s="632"/>
      <c r="CN32" s="633" t="s">
        <v>408</v>
      </c>
      <c r="CO32" s="626"/>
      <c r="CP32" s="626"/>
      <c r="CQ32" s="626"/>
      <c r="CR32" s="626"/>
      <c r="CS32" s="626"/>
      <c r="CT32" s="626"/>
      <c r="CU32" s="627"/>
      <c r="CV32" s="635" t="s">
        <v>389</v>
      </c>
      <c r="CW32" s="626"/>
      <c r="CX32" s="626"/>
      <c r="CY32" s="626"/>
      <c r="CZ32" s="626"/>
      <c r="DA32" s="626"/>
      <c r="DB32" s="626"/>
      <c r="DC32" s="626"/>
      <c r="DD32" s="626"/>
      <c r="DE32" s="627"/>
      <c r="DF32" s="635" t="s">
        <v>404</v>
      </c>
      <c r="DG32" s="626"/>
      <c r="DH32" s="626"/>
      <c r="DI32" s="626"/>
      <c r="DJ32" s="626"/>
      <c r="DK32" s="626"/>
      <c r="DL32" s="626"/>
      <c r="DM32" s="626"/>
      <c r="DN32" s="626"/>
      <c r="DO32" s="626"/>
      <c r="DP32" s="626"/>
      <c r="DQ32" s="626"/>
      <c r="DR32" s="627"/>
      <c r="DS32" s="637">
        <f>DS14</f>
        <v>11459491.73</v>
      </c>
      <c r="DT32" s="638"/>
      <c r="DU32" s="638"/>
      <c r="DV32" s="638"/>
      <c r="DW32" s="638"/>
      <c r="DX32" s="638"/>
      <c r="DY32" s="638"/>
      <c r="DZ32" s="638"/>
      <c r="EA32" s="638"/>
      <c r="EB32" s="638"/>
      <c r="EC32" s="638"/>
      <c r="ED32" s="638"/>
      <c r="EE32" s="639"/>
      <c r="EF32" s="637">
        <v>1187201.07</v>
      </c>
      <c r="EG32" s="638"/>
      <c r="EH32" s="638"/>
      <c r="EI32" s="638"/>
      <c r="EJ32" s="638"/>
      <c r="EK32" s="638"/>
      <c r="EL32" s="638"/>
      <c r="EM32" s="638"/>
      <c r="EN32" s="638"/>
      <c r="EO32" s="638"/>
      <c r="EP32" s="638"/>
      <c r="EQ32" s="638"/>
      <c r="ER32" s="639"/>
      <c r="ES32" s="637">
        <v>17611.2</v>
      </c>
      <c r="ET32" s="638"/>
      <c r="EU32" s="638"/>
      <c r="EV32" s="638"/>
      <c r="EW32" s="638"/>
      <c r="EX32" s="638"/>
      <c r="EY32" s="638"/>
      <c r="EZ32" s="638"/>
      <c r="FA32" s="638"/>
      <c r="FB32" s="638"/>
      <c r="FC32" s="638"/>
      <c r="FD32" s="638"/>
      <c r="FE32" s="639"/>
      <c r="FF32" s="643"/>
      <c r="FG32" s="644"/>
      <c r="FH32" s="644"/>
      <c r="FI32" s="644"/>
      <c r="FJ32" s="644"/>
      <c r="FK32" s="644"/>
      <c r="FL32" s="644"/>
      <c r="FM32" s="644"/>
      <c r="FN32" s="644"/>
      <c r="FO32" s="644"/>
      <c r="FP32" s="644"/>
      <c r="FQ32" s="644"/>
      <c r="FR32" s="645"/>
    </row>
    <row r="33" spans="1:174" ht="12" customHeight="1" x14ac:dyDescent="0.2">
      <c r="A33" s="628"/>
      <c r="B33" s="628"/>
      <c r="C33" s="628"/>
      <c r="D33" s="628"/>
      <c r="E33" s="628"/>
      <c r="F33" s="628"/>
      <c r="G33" s="628"/>
      <c r="H33" s="629"/>
      <c r="I33" s="649"/>
      <c r="J33" s="650"/>
      <c r="K33" s="650"/>
      <c r="L33" s="650"/>
      <c r="M33" s="650"/>
      <c r="N33" s="650"/>
      <c r="O33" s="650"/>
      <c r="P33" s="650"/>
      <c r="Q33" s="650"/>
      <c r="R33" s="650"/>
      <c r="S33" s="650"/>
      <c r="T33" s="650"/>
      <c r="U33" s="650"/>
      <c r="V33" s="650"/>
      <c r="W33" s="650"/>
      <c r="X33" s="650"/>
      <c r="Y33" s="650"/>
      <c r="Z33" s="650"/>
      <c r="AA33" s="650"/>
      <c r="AB33" s="650"/>
      <c r="AC33" s="650"/>
      <c r="AD33" s="650"/>
      <c r="AE33" s="650"/>
      <c r="AF33" s="650"/>
      <c r="AG33" s="650"/>
      <c r="AH33" s="650"/>
      <c r="AI33" s="650"/>
      <c r="AJ33" s="650"/>
      <c r="AK33" s="650"/>
      <c r="AL33" s="650"/>
      <c r="AM33" s="650"/>
      <c r="AN33" s="650"/>
      <c r="AO33" s="650"/>
      <c r="AP33" s="650"/>
      <c r="AQ33" s="650"/>
      <c r="AR33" s="650"/>
      <c r="AS33" s="650"/>
      <c r="AT33" s="650"/>
      <c r="AU33" s="650"/>
      <c r="AV33" s="650"/>
      <c r="AW33" s="650"/>
      <c r="AX33" s="650"/>
      <c r="AY33" s="650"/>
      <c r="AZ33" s="650"/>
      <c r="BA33" s="650"/>
      <c r="BB33" s="650"/>
      <c r="BC33" s="650"/>
      <c r="BD33" s="650"/>
      <c r="BE33" s="650"/>
      <c r="BF33" s="650"/>
      <c r="BG33" s="650"/>
      <c r="BH33" s="650"/>
      <c r="BI33" s="650"/>
      <c r="BJ33" s="650"/>
      <c r="BK33" s="650"/>
      <c r="BL33" s="650"/>
      <c r="BM33" s="650"/>
      <c r="BN33" s="650"/>
      <c r="BO33" s="650"/>
      <c r="BP33" s="650"/>
      <c r="BQ33" s="650"/>
      <c r="BR33" s="650"/>
      <c r="BS33" s="650"/>
      <c r="BT33" s="650"/>
      <c r="BU33" s="650"/>
      <c r="BV33" s="650"/>
      <c r="BW33" s="650"/>
      <c r="BX33" s="650"/>
      <c r="BY33" s="650"/>
      <c r="BZ33" s="650"/>
      <c r="CA33" s="650"/>
      <c r="CB33" s="650"/>
      <c r="CC33" s="650"/>
      <c r="CD33" s="650"/>
      <c r="CE33" s="650"/>
      <c r="CF33" s="650"/>
      <c r="CG33" s="650"/>
      <c r="CH33" s="650"/>
      <c r="CI33" s="650"/>
      <c r="CJ33" s="650"/>
      <c r="CK33" s="650"/>
      <c r="CL33" s="650"/>
      <c r="CM33" s="651"/>
      <c r="CN33" s="634"/>
      <c r="CO33" s="628"/>
      <c r="CP33" s="628"/>
      <c r="CQ33" s="628"/>
      <c r="CR33" s="628"/>
      <c r="CS33" s="628"/>
      <c r="CT33" s="628"/>
      <c r="CU33" s="629"/>
      <c r="CV33" s="636"/>
      <c r="CW33" s="628"/>
      <c r="CX33" s="628"/>
      <c r="CY33" s="628"/>
      <c r="CZ33" s="628"/>
      <c r="DA33" s="628"/>
      <c r="DB33" s="628"/>
      <c r="DC33" s="628"/>
      <c r="DD33" s="628"/>
      <c r="DE33" s="629"/>
      <c r="DF33" s="636" t="s">
        <v>404</v>
      </c>
      <c r="DG33" s="628"/>
      <c r="DH33" s="628"/>
      <c r="DI33" s="628"/>
      <c r="DJ33" s="628"/>
      <c r="DK33" s="628"/>
      <c r="DL33" s="628"/>
      <c r="DM33" s="628"/>
      <c r="DN33" s="628"/>
      <c r="DO33" s="628"/>
      <c r="DP33" s="628"/>
      <c r="DQ33" s="628"/>
      <c r="DR33" s="629"/>
      <c r="DS33" s="640"/>
      <c r="DT33" s="641"/>
      <c r="DU33" s="641"/>
      <c r="DV33" s="641"/>
      <c r="DW33" s="641"/>
      <c r="DX33" s="641"/>
      <c r="DY33" s="641"/>
      <c r="DZ33" s="641"/>
      <c r="EA33" s="641"/>
      <c r="EB33" s="641"/>
      <c r="EC33" s="641"/>
      <c r="ED33" s="641"/>
      <c r="EE33" s="642"/>
      <c r="EF33" s="640"/>
      <c r="EG33" s="641"/>
      <c r="EH33" s="641"/>
      <c r="EI33" s="641"/>
      <c r="EJ33" s="641"/>
      <c r="EK33" s="641"/>
      <c r="EL33" s="641"/>
      <c r="EM33" s="641"/>
      <c r="EN33" s="641"/>
      <c r="EO33" s="641"/>
      <c r="EP33" s="641"/>
      <c r="EQ33" s="641"/>
      <c r="ER33" s="642"/>
      <c r="ES33" s="640"/>
      <c r="ET33" s="641"/>
      <c r="EU33" s="641"/>
      <c r="EV33" s="641"/>
      <c r="EW33" s="641"/>
      <c r="EX33" s="641"/>
      <c r="EY33" s="641"/>
      <c r="EZ33" s="641"/>
      <c r="FA33" s="641"/>
      <c r="FB33" s="641"/>
      <c r="FC33" s="641"/>
      <c r="FD33" s="641"/>
      <c r="FE33" s="642"/>
      <c r="FF33" s="646"/>
      <c r="FG33" s="647"/>
      <c r="FH33" s="647"/>
      <c r="FI33" s="647"/>
      <c r="FJ33" s="647"/>
      <c r="FK33" s="647"/>
      <c r="FL33" s="647"/>
      <c r="FM33" s="647"/>
      <c r="FN33" s="647"/>
      <c r="FO33" s="647"/>
      <c r="FP33" s="647"/>
      <c r="FQ33" s="647"/>
      <c r="FR33" s="648"/>
    </row>
    <row r="34" spans="1:174" ht="12" customHeight="1" x14ac:dyDescent="0.2">
      <c r="A34" s="430"/>
      <c r="B34" s="430"/>
      <c r="C34" s="430"/>
      <c r="D34" s="430"/>
      <c r="E34" s="430"/>
      <c r="F34" s="430"/>
      <c r="G34" s="430"/>
      <c r="H34" s="431"/>
      <c r="I34" s="652"/>
      <c r="J34" s="653"/>
      <c r="K34" s="653"/>
      <c r="L34" s="653"/>
      <c r="M34" s="653"/>
      <c r="N34" s="653"/>
      <c r="O34" s="653"/>
      <c r="P34" s="653"/>
      <c r="Q34" s="653"/>
      <c r="R34" s="653"/>
      <c r="S34" s="653"/>
      <c r="T34" s="653"/>
      <c r="U34" s="653"/>
      <c r="V34" s="653"/>
      <c r="W34" s="653"/>
      <c r="X34" s="653"/>
      <c r="Y34" s="653"/>
      <c r="Z34" s="653"/>
      <c r="AA34" s="653"/>
      <c r="AB34" s="653"/>
      <c r="AC34" s="653"/>
      <c r="AD34" s="653"/>
      <c r="AE34" s="653"/>
      <c r="AF34" s="653"/>
      <c r="AG34" s="653"/>
      <c r="AH34" s="653"/>
      <c r="AI34" s="653"/>
      <c r="AJ34" s="653"/>
      <c r="AK34" s="653"/>
      <c r="AL34" s="653"/>
      <c r="AM34" s="653"/>
      <c r="AN34" s="653"/>
      <c r="AO34" s="653"/>
      <c r="AP34" s="653"/>
      <c r="AQ34" s="653"/>
      <c r="AR34" s="653"/>
      <c r="AS34" s="653"/>
      <c r="AT34" s="653"/>
      <c r="AU34" s="653"/>
      <c r="AV34" s="653"/>
      <c r="AW34" s="653"/>
      <c r="AX34" s="653"/>
      <c r="AY34" s="653"/>
      <c r="AZ34" s="653"/>
      <c r="BA34" s="653"/>
      <c r="BB34" s="653"/>
      <c r="BC34" s="653"/>
      <c r="BD34" s="653"/>
      <c r="BE34" s="653"/>
      <c r="BF34" s="653"/>
      <c r="BG34" s="653"/>
      <c r="BH34" s="653"/>
      <c r="BI34" s="653"/>
      <c r="BJ34" s="653"/>
      <c r="BK34" s="653"/>
      <c r="BL34" s="653"/>
      <c r="BM34" s="653"/>
      <c r="BN34" s="653"/>
      <c r="BO34" s="653"/>
      <c r="BP34" s="653"/>
      <c r="BQ34" s="653"/>
      <c r="BR34" s="653"/>
      <c r="BS34" s="653"/>
      <c r="BT34" s="653"/>
      <c r="BU34" s="653"/>
      <c r="BV34" s="653"/>
      <c r="BW34" s="653"/>
      <c r="BX34" s="653"/>
      <c r="BY34" s="653"/>
      <c r="BZ34" s="653"/>
      <c r="CA34" s="653"/>
      <c r="CB34" s="653"/>
      <c r="CC34" s="653"/>
      <c r="CD34" s="653"/>
      <c r="CE34" s="653"/>
      <c r="CF34" s="653"/>
      <c r="CG34" s="653"/>
      <c r="CH34" s="653"/>
      <c r="CI34" s="653"/>
      <c r="CJ34" s="653"/>
      <c r="CK34" s="653"/>
      <c r="CL34" s="653"/>
      <c r="CM34" s="654"/>
      <c r="CN34" s="571" t="s">
        <v>409</v>
      </c>
      <c r="CO34" s="566"/>
      <c r="CP34" s="566"/>
      <c r="CQ34" s="566"/>
      <c r="CR34" s="566"/>
      <c r="CS34" s="566"/>
      <c r="CT34" s="566"/>
      <c r="CU34" s="567"/>
      <c r="CV34" s="572" t="s">
        <v>390</v>
      </c>
      <c r="CW34" s="566"/>
      <c r="CX34" s="566"/>
      <c r="CY34" s="566"/>
      <c r="CZ34" s="566"/>
      <c r="DA34" s="566"/>
      <c r="DB34" s="566"/>
      <c r="DC34" s="566"/>
      <c r="DD34" s="566"/>
      <c r="DE34" s="567"/>
      <c r="DF34" s="572" t="s">
        <v>404</v>
      </c>
      <c r="DG34" s="566"/>
      <c r="DH34" s="566"/>
      <c r="DI34" s="566"/>
      <c r="DJ34" s="566"/>
      <c r="DK34" s="566"/>
      <c r="DL34" s="566"/>
      <c r="DM34" s="566"/>
      <c r="DN34" s="566"/>
      <c r="DO34" s="566"/>
      <c r="DP34" s="566"/>
      <c r="DQ34" s="566"/>
      <c r="DR34" s="567"/>
      <c r="DS34" s="574"/>
      <c r="DT34" s="575"/>
      <c r="DU34" s="575"/>
      <c r="DV34" s="575"/>
      <c r="DW34" s="575"/>
      <c r="DX34" s="575"/>
      <c r="DY34" s="575"/>
      <c r="DZ34" s="575"/>
      <c r="EA34" s="575"/>
      <c r="EB34" s="575"/>
      <c r="EC34" s="575"/>
      <c r="ED34" s="575"/>
      <c r="EE34" s="576"/>
      <c r="EF34" s="574">
        <v>9345927.4299999997</v>
      </c>
      <c r="EG34" s="575"/>
      <c r="EH34" s="575"/>
      <c r="EI34" s="575"/>
      <c r="EJ34" s="575"/>
      <c r="EK34" s="575"/>
      <c r="EL34" s="575"/>
      <c r="EM34" s="575"/>
      <c r="EN34" s="575"/>
      <c r="EO34" s="575"/>
      <c r="EP34" s="575"/>
      <c r="EQ34" s="575"/>
      <c r="ER34" s="576"/>
      <c r="ES34" s="574"/>
      <c r="ET34" s="575"/>
      <c r="EU34" s="575"/>
      <c r="EV34" s="575"/>
      <c r="EW34" s="575"/>
      <c r="EX34" s="575"/>
      <c r="EY34" s="575"/>
      <c r="EZ34" s="575"/>
      <c r="FA34" s="575"/>
      <c r="FB34" s="575"/>
      <c r="FC34" s="575"/>
      <c r="FD34" s="575"/>
      <c r="FE34" s="576"/>
      <c r="FF34" s="435"/>
      <c r="FG34" s="436"/>
      <c r="FH34" s="436"/>
      <c r="FI34" s="436"/>
      <c r="FJ34" s="436"/>
      <c r="FK34" s="436"/>
      <c r="FL34" s="436"/>
      <c r="FM34" s="436"/>
      <c r="FN34" s="436"/>
      <c r="FO34" s="436"/>
      <c r="FP34" s="436"/>
      <c r="FQ34" s="436"/>
      <c r="FR34" s="437"/>
    </row>
    <row r="35" spans="1:174" ht="12" customHeight="1" x14ac:dyDescent="0.2">
      <c r="A35" s="430"/>
      <c r="B35" s="430"/>
      <c r="C35" s="430"/>
      <c r="D35" s="430"/>
      <c r="E35" s="430"/>
      <c r="F35" s="430"/>
      <c r="G35" s="430"/>
      <c r="H35" s="431"/>
      <c r="I35" s="655"/>
      <c r="J35" s="656"/>
      <c r="K35" s="656"/>
      <c r="L35" s="656"/>
      <c r="M35" s="656"/>
      <c r="N35" s="656"/>
      <c r="O35" s="656"/>
      <c r="P35" s="656"/>
      <c r="Q35" s="656"/>
      <c r="R35" s="656"/>
      <c r="S35" s="656"/>
      <c r="T35" s="656"/>
      <c r="U35" s="656"/>
      <c r="V35" s="656"/>
      <c r="W35" s="656"/>
      <c r="X35" s="656"/>
      <c r="Y35" s="656"/>
      <c r="Z35" s="656"/>
      <c r="AA35" s="656"/>
      <c r="AB35" s="656"/>
      <c r="AC35" s="656"/>
      <c r="AD35" s="656"/>
      <c r="AE35" s="656"/>
      <c r="AF35" s="656"/>
      <c r="AG35" s="656"/>
      <c r="AH35" s="656"/>
      <c r="AI35" s="656"/>
      <c r="AJ35" s="656"/>
      <c r="AK35" s="656"/>
      <c r="AL35" s="656"/>
      <c r="AM35" s="656"/>
      <c r="AN35" s="656"/>
      <c r="AO35" s="656"/>
      <c r="AP35" s="656"/>
      <c r="AQ35" s="656"/>
      <c r="AR35" s="656"/>
      <c r="AS35" s="656"/>
      <c r="AT35" s="656"/>
      <c r="AU35" s="656"/>
      <c r="AV35" s="656"/>
      <c r="AW35" s="656"/>
      <c r="AX35" s="656"/>
      <c r="AY35" s="656"/>
      <c r="AZ35" s="656"/>
      <c r="BA35" s="656"/>
      <c r="BB35" s="656"/>
      <c r="BC35" s="656"/>
      <c r="BD35" s="656"/>
      <c r="BE35" s="656"/>
      <c r="BF35" s="656"/>
      <c r="BG35" s="656"/>
      <c r="BH35" s="656"/>
      <c r="BI35" s="656"/>
      <c r="BJ35" s="656"/>
      <c r="BK35" s="656"/>
      <c r="BL35" s="656"/>
      <c r="BM35" s="656"/>
      <c r="BN35" s="656"/>
      <c r="BO35" s="656"/>
      <c r="BP35" s="656"/>
      <c r="BQ35" s="656"/>
      <c r="BR35" s="656"/>
      <c r="BS35" s="656"/>
      <c r="BT35" s="656"/>
      <c r="BU35" s="656"/>
      <c r="BV35" s="656"/>
      <c r="BW35" s="656"/>
      <c r="BX35" s="656"/>
      <c r="BY35" s="656"/>
      <c r="BZ35" s="656"/>
      <c r="CA35" s="656"/>
      <c r="CB35" s="656"/>
      <c r="CC35" s="656"/>
      <c r="CD35" s="656"/>
      <c r="CE35" s="656"/>
      <c r="CF35" s="656"/>
      <c r="CG35" s="656"/>
      <c r="CH35" s="656"/>
      <c r="CI35" s="656"/>
      <c r="CJ35" s="656"/>
      <c r="CK35" s="656"/>
      <c r="CL35" s="656"/>
      <c r="CM35" s="657"/>
      <c r="CN35" s="571" t="s">
        <v>410</v>
      </c>
      <c r="CO35" s="566"/>
      <c r="CP35" s="566"/>
      <c r="CQ35" s="566"/>
      <c r="CR35" s="566"/>
      <c r="CS35" s="566"/>
      <c r="CT35" s="566"/>
      <c r="CU35" s="567"/>
      <c r="CV35" s="572" t="s">
        <v>411</v>
      </c>
      <c r="CW35" s="566"/>
      <c r="CX35" s="566"/>
      <c r="CY35" s="566"/>
      <c r="CZ35" s="566"/>
      <c r="DA35" s="566"/>
      <c r="DB35" s="566"/>
      <c r="DC35" s="566"/>
      <c r="DD35" s="566"/>
      <c r="DE35" s="567"/>
      <c r="DF35" s="572" t="s">
        <v>404</v>
      </c>
      <c r="DG35" s="566"/>
      <c r="DH35" s="566"/>
      <c r="DI35" s="566"/>
      <c r="DJ35" s="566"/>
      <c r="DK35" s="566"/>
      <c r="DL35" s="566"/>
      <c r="DM35" s="566"/>
      <c r="DN35" s="566"/>
      <c r="DO35" s="566"/>
      <c r="DP35" s="566"/>
      <c r="DQ35" s="566"/>
      <c r="DR35" s="567"/>
      <c r="DS35" s="574"/>
      <c r="DT35" s="575"/>
      <c r="DU35" s="575"/>
      <c r="DV35" s="575"/>
      <c r="DW35" s="575"/>
      <c r="DX35" s="575"/>
      <c r="DY35" s="575"/>
      <c r="DZ35" s="575"/>
      <c r="EA35" s="575"/>
      <c r="EB35" s="575"/>
      <c r="EC35" s="575"/>
      <c r="ED35" s="575"/>
      <c r="EE35" s="576"/>
      <c r="EF35" s="574"/>
      <c r="EG35" s="575"/>
      <c r="EH35" s="575"/>
      <c r="EI35" s="575"/>
      <c r="EJ35" s="575"/>
      <c r="EK35" s="575"/>
      <c r="EL35" s="575"/>
      <c r="EM35" s="575"/>
      <c r="EN35" s="575"/>
      <c r="EO35" s="575"/>
      <c r="EP35" s="575"/>
      <c r="EQ35" s="575"/>
      <c r="ER35" s="576"/>
      <c r="ES35" s="574">
        <f>ES14-ES32</f>
        <v>10922417.6</v>
      </c>
      <c r="ET35" s="575"/>
      <c r="EU35" s="575"/>
      <c r="EV35" s="575"/>
      <c r="EW35" s="575"/>
      <c r="EX35" s="575"/>
      <c r="EY35" s="575"/>
      <c r="EZ35" s="575"/>
      <c r="FA35" s="575"/>
      <c r="FB35" s="575"/>
      <c r="FC35" s="575"/>
      <c r="FD35" s="575"/>
      <c r="FE35" s="576"/>
      <c r="FF35" s="435"/>
      <c r="FG35" s="436"/>
      <c r="FH35" s="436"/>
      <c r="FI35" s="436"/>
      <c r="FJ35" s="436"/>
      <c r="FK35" s="436"/>
      <c r="FL35" s="436"/>
      <c r="FM35" s="436"/>
      <c r="FN35" s="436"/>
      <c r="FO35" s="436"/>
      <c r="FP35" s="436"/>
      <c r="FQ35" s="436"/>
      <c r="FR35" s="437"/>
    </row>
    <row r="36" spans="1:174" ht="22.5" customHeight="1" x14ac:dyDescent="0.2">
      <c r="A36" s="566" t="s">
        <v>297</v>
      </c>
      <c r="B36" s="566"/>
      <c r="C36" s="566"/>
      <c r="D36" s="566"/>
      <c r="E36" s="566"/>
      <c r="F36" s="566"/>
      <c r="G36" s="566"/>
      <c r="H36" s="567"/>
      <c r="I36" s="620" t="s">
        <v>346</v>
      </c>
      <c r="J36" s="621"/>
      <c r="K36" s="621"/>
      <c r="L36" s="621"/>
      <c r="M36" s="621"/>
      <c r="N36" s="621"/>
      <c r="O36" s="621"/>
      <c r="P36" s="621"/>
      <c r="Q36" s="621"/>
      <c r="R36" s="621"/>
      <c r="S36" s="621"/>
      <c r="T36" s="621"/>
      <c r="U36" s="621"/>
      <c r="V36" s="621"/>
      <c r="W36" s="621"/>
      <c r="X36" s="621"/>
      <c r="Y36" s="621"/>
      <c r="Z36" s="621"/>
      <c r="AA36" s="621"/>
      <c r="AB36" s="621"/>
      <c r="AC36" s="621"/>
      <c r="AD36" s="621"/>
      <c r="AE36" s="621"/>
      <c r="AF36" s="621"/>
      <c r="AG36" s="621"/>
      <c r="AH36" s="621"/>
      <c r="AI36" s="621"/>
      <c r="AJ36" s="621"/>
      <c r="AK36" s="621"/>
      <c r="AL36" s="621"/>
      <c r="AM36" s="621"/>
      <c r="AN36" s="621"/>
      <c r="AO36" s="621"/>
      <c r="AP36" s="621"/>
      <c r="AQ36" s="621"/>
      <c r="AR36" s="621"/>
      <c r="AS36" s="621"/>
      <c r="AT36" s="621"/>
      <c r="AU36" s="621"/>
      <c r="AV36" s="621"/>
      <c r="AW36" s="621"/>
      <c r="AX36" s="621"/>
      <c r="AY36" s="621"/>
      <c r="AZ36" s="621"/>
      <c r="BA36" s="621"/>
      <c r="BB36" s="621"/>
      <c r="BC36" s="621"/>
      <c r="BD36" s="621"/>
      <c r="BE36" s="621"/>
      <c r="BF36" s="621"/>
      <c r="BG36" s="621"/>
      <c r="BH36" s="621"/>
      <c r="BI36" s="621"/>
      <c r="BJ36" s="621"/>
      <c r="BK36" s="621"/>
      <c r="BL36" s="621"/>
      <c r="BM36" s="621"/>
      <c r="BN36" s="621"/>
      <c r="BO36" s="621"/>
      <c r="BP36" s="621"/>
      <c r="BQ36" s="621"/>
      <c r="BR36" s="621"/>
      <c r="BS36" s="621"/>
      <c r="BT36" s="621"/>
      <c r="BU36" s="621"/>
      <c r="BV36" s="621"/>
      <c r="BW36" s="621"/>
      <c r="BX36" s="621"/>
      <c r="BY36" s="621"/>
      <c r="BZ36" s="621"/>
      <c r="CA36" s="621"/>
      <c r="CB36" s="621"/>
      <c r="CC36" s="621"/>
      <c r="CD36" s="621"/>
      <c r="CE36" s="621"/>
      <c r="CF36" s="621"/>
      <c r="CG36" s="621"/>
      <c r="CH36" s="621"/>
      <c r="CI36" s="621"/>
      <c r="CJ36" s="621"/>
      <c r="CK36" s="621"/>
      <c r="CL36" s="621"/>
      <c r="CM36" s="622"/>
      <c r="CN36" s="571" t="s">
        <v>347</v>
      </c>
      <c r="CO36" s="566"/>
      <c r="CP36" s="566"/>
      <c r="CQ36" s="566"/>
      <c r="CR36" s="566"/>
      <c r="CS36" s="566"/>
      <c r="CT36" s="566"/>
      <c r="CU36" s="567"/>
      <c r="CV36" s="572" t="s">
        <v>190</v>
      </c>
      <c r="CW36" s="566"/>
      <c r="CX36" s="566"/>
      <c r="CY36" s="566"/>
      <c r="CZ36" s="566"/>
      <c r="DA36" s="566"/>
      <c r="DB36" s="566"/>
      <c r="DC36" s="566"/>
      <c r="DD36" s="566"/>
      <c r="DE36" s="567"/>
      <c r="DF36" s="438"/>
      <c r="DG36" s="438"/>
      <c r="DH36" s="438"/>
      <c r="DI36" s="438"/>
      <c r="DJ36" s="438"/>
      <c r="DK36" s="438"/>
      <c r="DL36" s="438"/>
      <c r="DM36" s="438"/>
      <c r="DN36" s="438"/>
      <c r="DO36" s="438"/>
      <c r="DP36" s="438"/>
      <c r="DQ36" s="438"/>
      <c r="DR36" s="438"/>
      <c r="DS36" s="623">
        <f>SUM(DS37:EE39)</f>
        <v>3107210.53</v>
      </c>
      <c r="DT36" s="624"/>
      <c r="DU36" s="624"/>
      <c r="DV36" s="624"/>
      <c r="DW36" s="624"/>
      <c r="DX36" s="624"/>
      <c r="DY36" s="624"/>
      <c r="DZ36" s="624"/>
      <c r="EA36" s="624"/>
      <c r="EB36" s="624"/>
      <c r="EC36" s="624"/>
      <c r="ED36" s="624"/>
      <c r="EE36" s="625"/>
      <c r="EF36" s="623">
        <v>3107210.53</v>
      </c>
      <c r="EG36" s="624"/>
      <c r="EH36" s="624"/>
      <c r="EI36" s="624"/>
      <c r="EJ36" s="624"/>
      <c r="EK36" s="624"/>
      <c r="EL36" s="624"/>
      <c r="EM36" s="624"/>
      <c r="EN36" s="624"/>
      <c r="EO36" s="624"/>
      <c r="EP36" s="624"/>
      <c r="EQ36" s="624"/>
      <c r="ER36" s="625"/>
      <c r="ES36" s="623">
        <f>SUM(ES37:FE40)</f>
        <v>3107210.53</v>
      </c>
      <c r="ET36" s="624"/>
      <c r="EU36" s="624"/>
      <c r="EV36" s="624"/>
      <c r="EW36" s="624"/>
      <c r="EX36" s="624"/>
      <c r="EY36" s="624"/>
      <c r="EZ36" s="624"/>
      <c r="FA36" s="624"/>
      <c r="FB36" s="624"/>
      <c r="FC36" s="624"/>
      <c r="FD36" s="624"/>
      <c r="FE36" s="625"/>
      <c r="FF36" s="652"/>
      <c r="FG36" s="653"/>
      <c r="FH36" s="653"/>
      <c r="FI36" s="653"/>
      <c r="FJ36" s="653"/>
      <c r="FK36" s="653"/>
      <c r="FL36" s="653"/>
      <c r="FM36" s="653"/>
      <c r="FN36" s="653"/>
      <c r="FO36" s="653"/>
      <c r="FP36" s="653"/>
      <c r="FQ36" s="653"/>
      <c r="FR36" s="654"/>
    </row>
    <row r="37" spans="1:174" ht="12" customHeight="1" x14ac:dyDescent="0.2">
      <c r="A37" s="626"/>
      <c r="B37" s="626"/>
      <c r="C37" s="626"/>
      <c r="D37" s="626"/>
      <c r="E37" s="626"/>
      <c r="F37" s="626"/>
      <c r="G37" s="626"/>
      <c r="H37" s="627"/>
      <c r="I37" s="630" t="s">
        <v>345</v>
      </c>
      <c r="J37" s="631"/>
      <c r="K37" s="631"/>
      <c r="L37" s="631"/>
      <c r="M37" s="631"/>
      <c r="N37" s="631"/>
      <c r="O37" s="631"/>
      <c r="P37" s="631"/>
      <c r="Q37" s="631"/>
      <c r="R37" s="631"/>
      <c r="S37" s="631"/>
      <c r="T37" s="631"/>
      <c r="U37" s="631"/>
      <c r="V37" s="631"/>
      <c r="W37" s="631"/>
      <c r="X37" s="631"/>
      <c r="Y37" s="631"/>
      <c r="Z37" s="631"/>
      <c r="AA37" s="631"/>
      <c r="AB37" s="631"/>
      <c r="AC37" s="631"/>
      <c r="AD37" s="631"/>
      <c r="AE37" s="631"/>
      <c r="AF37" s="631"/>
      <c r="AG37" s="631"/>
      <c r="AH37" s="631"/>
      <c r="AI37" s="631"/>
      <c r="AJ37" s="631"/>
      <c r="AK37" s="631"/>
      <c r="AL37" s="631"/>
      <c r="AM37" s="631"/>
      <c r="AN37" s="631"/>
      <c r="AO37" s="631"/>
      <c r="AP37" s="631"/>
      <c r="AQ37" s="631"/>
      <c r="AR37" s="631"/>
      <c r="AS37" s="631"/>
      <c r="AT37" s="631"/>
      <c r="AU37" s="631"/>
      <c r="AV37" s="631"/>
      <c r="AW37" s="631"/>
      <c r="AX37" s="631"/>
      <c r="AY37" s="631"/>
      <c r="AZ37" s="631"/>
      <c r="BA37" s="631"/>
      <c r="BB37" s="631"/>
      <c r="BC37" s="631"/>
      <c r="BD37" s="631"/>
      <c r="BE37" s="631"/>
      <c r="BF37" s="631"/>
      <c r="BG37" s="631"/>
      <c r="BH37" s="631"/>
      <c r="BI37" s="631"/>
      <c r="BJ37" s="631"/>
      <c r="BK37" s="631"/>
      <c r="BL37" s="631"/>
      <c r="BM37" s="631"/>
      <c r="BN37" s="631"/>
      <c r="BO37" s="631"/>
      <c r="BP37" s="631"/>
      <c r="BQ37" s="631"/>
      <c r="BR37" s="631"/>
      <c r="BS37" s="631"/>
      <c r="BT37" s="631"/>
      <c r="BU37" s="631"/>
      <c r="BV37" s="631"/>
      <c r="BW37" s="631"/>
      <c r="BX37" s="631"/>
      <c r="BY37" s="631"/>
      <c r="BZ37" s="631"/>
      <c r="CA37" s="631"/>
      <c r="CB37" s="631"/>
      <c r="CC37" s="631"/>
      <c r="CD37" s="631"/>
      <c r="CE37" s="631"/>
      <c r="CF37" s="631"/>
      <c r="CG37" s="631"/>
      <c r="CH37" s="631"/>
      <c r="CI37" s="631"/>
      <c r="CJ37" s="631"/>
      <c r="CK37" s="631"/>
      <c r="CL37" s="631"/>
      <c r="CM37" s="632"/>
      <c r="CN37" s="633" t="s">
        <v>348</v>
      </c>
      <c r="CO37" s="626"/>
      <c r="CP37" s="626"/>
      <c r="CQ37" s="626"/>
      <c r="CR37" s="626"/>
      <c r="CS37" s="626"/>
      <c r="CT37" s="626"/>
      <c r="CU37" s="627"/>
      <c r="CV37" s="635" t="s">
        <v>389</v>
      </c>
      <c r="CW37" s="626"/>
      <c r="CX37" s="626"/>
      <c r="CY37" s="626"/>
      <c r="CZ37" s="626"/>
      <c r="DA37" s="626"/>
      <c r="DB37" s="626"/>
      <c r="DC37" s="626"/>
      <c r="DD37" s="626"/>
      <c r="DE37" s="627"/>
      <c r="DF37" s="432"/>
      <c r="DG37" s="432"/>
      <c r="DH37" s="432"/>
      <c r="DI37" s="432"/>
      <c r="DJ37" s="432"/>
      <c r="DK37" s="432"/>
      <c r="DL37" s="432"/>
      <c r="DM37" s="432"/>
      <c r="DN37" s="432"/>
      <c r="DO37" s="432"/>
      <c r="DP37" s="432"/>
      <c r="DQ37" s="432"/>
      <c r="DR37" s="432"/>
      <c r="DS37" s="658">
        <v>3107210.53</v>
      </c>
      <c r="DT37" s="659"/>
      <c r="DU37" s="659"/>
      <c r="DV37" s="659"/>
      <c r="DW37" s="659"/>
      <c r="DX37" s="659"/>
      <c r="DY37" s="659"/>
      <c r="DZ37" s="659"/>
      <c r="EA37" s="659"/>
      <c r="EB37" s="659"/>
      <c r="EC37" s="659"/>
      <c r="ED37" s="659"/>
      <c r="EE37" s="660"/>
      <c r="EF37" s="658"/>
      <c r="EG37" s="659"/>
      <c r="EH37" s="659"/>
      <c r="EI37" s="659"/>
      <c r="EJ37" s="659"/>
      <c r="EK37" s="659"/>
      <c r="EL37" s="659"/>
      <c r="EM37" s="659"/>
      <c r="EN37" s="659"/>
      <c r="EO37" s="659"/>
      <c r="EP37" s="659"/>
      <c r="EQ37" s="659"/>
      <c r="ER37" s="660"/>
      <c r="ES37" s="658"/>
      <c r="ET37" s="659"/>
      <c r="EU37" s="659"/>
      <c r="EV37" s="659"/>
      <c r="EW37" s="659"/>
      <c r="EX37" s="659"/>
      <c r="EY37" s="659"/>
      <c r="EZ37" s="659"/>
      <c r="FA37" s="659"/>
      <c r="FB37" s="659"/>
      <c r="FC37" s="659"/>
      <c r="FD37" s="659"/>
      <c r="FE37" s="660"/>
      <c r="FF37" s="643"/>
      <c r="FG37" s="644"/>
      <c r="FH37" s="644"/>
      <c r="FI37" s="644"/>
      <c r="FJ37" s="644"/>
      <c r="FK37" s="644"/>
      <c r="FL37" s="644"/>
      <c r="FM37" s="644"/>
      <c r="FN37" s="644"/>
      <c r="FO37" s="644"/>
      <c r="FP37" s="644"/>
      <c r="FQ37" s="644"/>
      <c r="FR37" s="645"/>
    </row>
    <row r="38" spans="1:174" ht="12" customHeight="1" x14ac:dyDescent="0.2">
      <c r="A38" s="628"/>
      <c r="B38" s="628"/>
      <c r="C38" s="628"/>
      <c r="D38" s="628"/>
      <c r="E38" s="628"/>
      <c r="F38" s="628"/>
      <c r="G38" s="628"/>
      <c r="H38" s="629"/>
      <c r="I38" s="664"/>
      <c r="J38" s="665"/>
      <c r="K38" s="665"/>
      <c r="L38" s="665"/>
      <c r="M38" s="665"/>
      <c r="N38" s="665"/>
      <c r="O38" s="665"/>
      <c r="P38" s="665"/>
      <c r="Q38" s="665"/>
      <c r="R38" s="665"/>
      <c r="S38" s="665"/>
      <c r="T38" s="665"/>
      <c r="U38" s="665"/>
      <c r="V38" s="665"/>
      <c r="W38" s="665"/>
      <c r="X38" s="665"/>
      <c r="Y38" s="665"/>
      <c r="Z38" s="665"/>
      <c r="AA38" s="665"/>
      <c r="AB38" s="665"/>
      <c r="AC38" s="665"/>
      <c r="AD38" s="665"/>
      <c r="AE38" s="665"/>
      <c r="AF38" s="665"/>
      <c r="AG38" s="665"/>
      <c r="AH38" s="665"/>
      <c r="AI38" s="665"/>
      <c r="AJ38" s="665"/>
      <c r="AK38" s="665"/>
      <c r="AL38" s="665"/>
      <c r="AM38" s="665"/>
      <c r="AN38" s="665"/>
      <c r="AO38" s="665"/>
      <c r="AP38" s="665"/>
      <c r="AQ38" s="665"/>
      <c r="AR38" s="665"/>
      <c r="AS38" s="665"/>
      <c r="AT38" s="665"/>
      <c r="AU38" s="665"/>
      <c r="AV38" s="665"/>
      <c r="AW38" s="665"/>
      <c r="AX38" s="665"/>
      <c r="AY38" s="665"/>
      <c r="AZ38" s="665"/>
      <c r="BA38" s="665"/>
      <c r="BB38" s="665"/>
      <c r="BC38" s="665"/>
      <c r="BD38" s="665"/>
      <c r="BE38" s="665"/>
      <c r="BF38" s="665"/>
      <c r="BG38" s="665"/>
      <c r="BH38" s="665"/>
      <c r="BI38" s="665"/>
      <c r="BJ38" s="665"/>
      <c r="BK38" s="665"/>
      <c r="BL38" s="665"/>
      <c r="BM38" s="665"/>
      <c r="BN38" s="665"/>
      <c r="BO38" s="665"/>
      <c r="BP38" s="665"/>
      <c r="BQ38" s="665"/>
      <c r="BR38" s="665"/>
      <c r="BS38" s="665"/>
      <c r="BT38" s="665"/>
      <c r="BU38" s="665"/>
      <c r="BV38" s="665"/>
      <c r="BW38" s="665"/>
      <c r="BX38" s="665"/>
      <c r="BY38" s="665"/>
      <c r="BZ38" s="665"/>
      <c r="CA38" s="665"/>
      <c r="CB38" s="665"/>
      <c r="CC38" s="665"/>
      <c r="CD38" s="665"/>
      <c r="CE38" s="665"/>
      <c r="CF38" s="665"/>
      <c r="CG38" s="665"/>
      <c r="CH38" s="665"/>
      <c r="CI38" s="665"/>
      <c r="CJ38" s="665"/>
      <c r="CK38" s="665"/>
      <c r="CL38" s="665"/>
      <c r="CM38" s="666"/>
      <c r="CN38" s="634"/>
      <c r="CO38" s="628"/>
      <c r="CP38" s="628"/>
      <c r="CQ38" s="628"/>
      <c r="CR38" s="628"/>
      <c r="CS38" s="628"/>
      <c r="CT38" s="628"/>
      <c r="CU38" s="629"/>
      <c r="CV38" s="636"/>
      <c r="CW38" s="628"/>
      <c r="CX38" s="628"/>
      <c r="CY38" s="628"/>
      <c r="CZ38" s="628"/>
      <c r="DA38" s="628"/>
      <c r="DB38" s="628"/>
      <c r="DC38" s="628"/>
      <c r="DD38" s="628"/>
      <c r="DE38" s="629"/>
      <c r="DF38" s="430"/>
      <c r="DG38" s="430"/>
      <c r="DH38" s="430"/>
      <c r="DI38" s="430"/>
      <c r="DJ38" s="430"/>
      <c r="DK38" s="430"/>
      <c r="DL38" s="430"/>
      <c r="DM38" s="430"/>
      <c r="DN38" s="430"/>
      <c r="DO38" s="430"/>
      <c r="DP38" s="430"/>
      <c r="DQ38" s="430"/>
      <c r="DR38" s="430"/>
      <c r="DS38" s="661"/>
      <c r="DT38" s="662"/>
      <c r="DU38" s="662"/>
      <c r="DV38" s="662"/>
      <c r="DW38" s="662"/>
      <c r="DX38" s="662"/>
      <c r="DY38" s="662"/>
      <c r="DZ38" s="662"/>
      <c r="EA38" s="662"/>
      <c r="EB38" s="662"/>
      <c r="EC38" s="662"/>
      <c r="ED38" s="662"/>
      <c r="EE38" s="663"/>
      <c r="EF38" s="661"/>
      <c r="EG38" s="662"/>
      <c r="EH38" s="662"/>
      <c r="EI38" s="662"/>
      <c r="EJ38" s="662"/>
      <c r="EK38" s="662"/>
      <c r="EL38" s="662"/>
      <c r="EM38" s="662"/>
      <c r="EN38" s="662"/>
      <c r="EO38" s="662"/>
      <c r="EP38" s="662"/>
      <c r="EQ38" s="662"/>
      <c r="ER38" s="663"/>
      <c r="ES38" s="661"/>
      <c r="ET38" s="662"/>
      <c r="EU38" s="662"/>
      <c r="EV38" s="662"/>
      <c r="EW38" s="662"/>
      <c r="EX38" s="662"/>
      <c r="EY38" s="662"/>
      <c r="EZ38" s="662"/>
      <c r="FA38" s="662"/>
      <c r="FB38" s="662"/>
      <c r="FC38" s="662"/>
      <c r="FD38" s="662"/>
      <c r="FE38" s="663"/>
      <c r="FF38" s="646"/>
      <c r="FG38" s="647"/>
      <c r="FH38" s="647"/>
      <c r="FI38" s="647"/>
      <c r="FJ38" s="647"/>
      <c r="FK38" s="647"/>
      <c r="FL38" s="647"/>
      <c r="FM38" s="647"/>
      <c r="FN38" s="647"/>
      <c r="FO38" s="647"/>
      <c r="FP38" s="647"/>
      <c r="FQ38" s="647"/>
      <c r="FR38" s="648"/>
    </row>
    <row r="39" spans="1:174" ht="12" customHeight="1" x14ac:dyDescent="0.2">
      <c r="A39" s="430"/>
      <c r="B39" s="430"/>
      <c r="C39" s="430"/>
      <c r="D39" s="430"/>
      <c r="E39" s="430"/>
      <c r="F39" s="430"/>
      <c r="G39" s="430"/>
      <c r="H39" s="431"/>
      <c r="I39" s="652"/>
      <c r="J39" s="653"/>
      <c r="K39" s="653"/>
      <c r="L39" s="653"/>
      <c r="M39" s="653"/>
      <c r="N39" s="653"/>
      <c r="O39" s="653"/>
      <c r="P39" s="653"/>
      <c r="Q39" s="653"/>
      <c r="R39" s="653"/>
      <c r="S39" s="653"/>
      <c r="T39" s="653"/>
      <c r="U39" s="653"/>
      <c r="V39" s="653"/>
      <c r="W39" s="653"/>
      <c r="X39" s="653"/>
      <c r="Y39" s="653"/>
      <c r="Z39" s="653"/>
      <c r="AA39" s="653"/>
      <c r="AB39" s="653"/>
      <c r="AC39" s="653"/>
      <c r="AD39" s="653"/>
      <c r="AE39" s="653"/>
      <c r="AF39" s="653"/>
      <c r="AG39" s="653"/>
      <c r="AH39" s="653"/>
      <c r="AI39" s="653"/>
      <c r="AJ39" s="653"/>
      <c r="AK39" s="653"/>
      <c r="AL39" s="653"/>
      <c r="AM39" s="653"/>
      <c r="AN39" s="653"/>
      <c r="AO39" s="653"/>
      <c r="AP39" s="653"/>
      <c r="AQ39" s="653"/>
      <c r="AR39" s="653"/>
      <c r="AS39" s="653"/>
      <c r="AT39" s="653"/>
      <c r="AU39" s="653"/>
      <c r="AV39" s="653"/>
      <c r="AW39" s="653"/>
      <c r="AX39" s="653"/>
      <c r="AY39" s="653"/>
      <c r="AZ39" s="653"/>
      <c r="BA39" s="653"/>
      <c r="BB39" s="653"/>
      <c r="BC39" s="653"/>
      <c r="BD39" s="653"/>
      <c r="BE39" s="653"/>
      <c r="BF39" s="653"/>
      <c r="BG39" s="653"/>
      <c r="BH39" s="653"/>
      <c r="BI39" s="653"/>
      <c r="BJ39" s="653"/>
      <c r="BK39" s="653"/>
      <c r="BL39" s="653"/>
      <c r="BM39" s="653"/>
      <c r="BN39" s="653"/>
      <c r="BO39" s="653"/>
      <c r="BP39" s="653"/>
      <c r="BQ39" s="653"/>
      <c r="BR39" s="653"/>
      <c r="BS39" s="653"/>
      <c r="BT39" s="653"/>
      <c r="BU39" s="653"/>
      <c r="BV39" s="653"/>
      <c r="BW39" s="653"/>
      <c r="BX39" s="653"/>
      <c r="BY39" s="653"/>
      <c r="BZ39" s="653"/>
      <c r="CA39" s="653"/>
      <c r="CB39" s="653"/>
      <c r="CC39" s="653"/>
      <c r="CD39" s="653"/>
      <c r="CE39" s="653"/>
      <c r="CF39" s="653"/>
      <c r="CG39" s="653"/>
      <c r="CH39" s="653"/>
      <c r="CI39" s="653"/>
      <c r="CJ39" s="653"/>
      <c r="CK39" s="653"/>
      <c r="CL39" s="653"/>
      <c r="CM39" s="654"/>
      <c r="CN39" s="634" t="s">
        <v>409</v>
      </c>
      <c r="CO39" s="628"/>
      <c r="CP39" s="628"/>
      <c r="CQ39" s="628"/>
      <c r="CR39" s="628"/>
      <c r="CS39" s="628"/>
      <c r="CT39" s="628"/>
      <c r="CU39" s="629"/>
      <c r="CV39" s="636" t="s">
        <v>390</v>
      </c>
      <c r="CW39" s="628"/>
      <c r="CX39" s="628"/>
      <c r="CY39" s="628"/>
      <c r="CZ39" s="628"/>
      <c r="DA39" s="628"/>
      <c r="DB39" s="628"/>
      <c r="DC39" s="628"/>
      <c r="DD39" s="628"/>
      <c r="DE39" s="629"/>
      <c r="DF39" s="636" t="s">
        <v>404</v>
      </c>
      <c r="DG39" s="628"/>
      <c r="DH39" s="628"/>
      <c r="DI39" s="628"/>
      <c r="DJ39" s="628"/>
      <c r="DK39" s="628"/>
      <c r="DL39" s="628"/>
      <c r="DM39" s="628"/>
      <c r="DN39" s="628"/>
      <c r="DO39" s="628"/>
      <c r="DP39" s="628"/>
      <c r="DQ39" s="628"/>
      <c r="DR39" s="629"/>
      <c r="DS39" s="640"/>
      <c r="DT39" s="641"/>
      <c r="DU39" s="641"/>
      <c r="DV39" s="641"/>
      <c r="DW39" s="641"/>
      <c r="DX39" s="641"/>
      <c r="DY39" s="641"/>
      <c r="DZ39" s="641"/>
      <c r="EA39" s="641"/>
      <c r="EB39" s="641"/>
      <c r="EC39" s="641"/>
      <c r="ED39" s="641"/>
      <c r="EE39" s="642"/>
      <c r="EF39" s="640">
        <v>3107210.53</v>
      </c>
      <c r="EG39" s="641"/>
      <c r="EH39" s="641"/>
      <c r="EI39" s="641"/>
      <c r="EJ39" s="641"/>
      <c r="EK39" s="641"/>
      <c r="EL39" s="641"/>
      <c r="EM39" s="641"/>
      <c r="EN39" s="641"/>
      <c r="EO39" s="641"/>
      <c r="EP39" s="641"/>
      <c r="EQ39" s="641"/>
      <c r="ER39" s="642"/>
      <c r="ES39" s="640"/>
      <c r="ET39" s="641"/>
      <c r="EU39" s="641"/>
      <c r="EV39" s="641"/>
      <c r="EW39" s="641"/>
      <c r="EX39" s="641"/>
      <c r="EY39" s="641"/>
      <c r="EZ39" s="641"/>
      <c r="FA39" s="641"/>
      <c r="FB39" s="641"/>
      <c r="FC39" s="641"/>
      <c r="FD39" s="641"/>
      <c r="FE39" s="642"/>
      <c r="FF39" s="435"/>
      <c r="FG39" s="436"/>
      <c r="FH39" s="436"/>
      <c r="FI39" s="436"/>
      <c r="FJ39" s="436"/>
      <c r="FK39" s="436"/>
      <c r="FL39" s="436"/>
      <c r="FM39" s="436"/>
      <c r="FN39" s="436"/>
      <c r="FO39" s="436"/>
      <c r="FP39" s="436"/>
      <c r="FQ39" s="436"/>
      <c r="FR39" s="437"/>
    </row>
    <row r="40" spans="1:174" ht="12" customHeight="1" thickBot="1" x14ac:dyDescent="0.25">
      <c r="A40" s="430"/>
      <c r="B40" s="430"/>
      <c r="C40" s="430"/>
      <c r="D40" s="430"/>
      <c r="E40" s="430"/>
      <c r="F40" s="430"/>
      <c r="G40" s="430"/>
      <c r="H40" s="431"/>
      <c r="I40" s="655"/>
      <c r="J40" s="656"/>
      <c r="K40" s="656"/>
      <c r="L40" s="656"/>
      <c r="M40" s="656"/>
      <c r="N40" s="656"/>
      <c r="O40" s="656"/>
      <c r="P40" s="656"/>
      <c r="Q40" s="656"/>
      <c r="R40" s="656"/>
      <c r="S40" s="656"/>
      <c r="T40" s="656"/>
      <c r="U40" s="656"/>
      <c r="V40" s="656"/>
      <c r="W40" s="656"/>
      <c r="X40" s="656"/>
      <c r="Y40" s="656"/>
      <c r="Z40" s="656"/>
      <c r="AA40" s="656"/>
      <c r="AB40" s="656"/>
      <c r="AC40" s="656"/>
      <c r="AD40" s="656"/>
      <c r="AE40" s="656"/>
      <c r="AF40" s="656"/>
      <c r="AG40" s="656"/>
      <c r="AH40" s="656"/>
      <c r="AI40" s="656"/>
      <c r="AJ40" s="656"/>
      <c r="AK40" s="656"/>
      <c r="AL40" s="656"/>
      <c r="AM40" s="656"/>
      <c r="AN40" s="656"/>
      <c r="AO40" s="656"/>
      <c r="AP40" s="656"/>
      <c r="AQ40" s="656"/>
      <c r="AR40" s="656"/>
      <c r="AS40" s="656"/>
      <c r="AT40" s="656"/>
      <c r="AU40" s="656"/>
      <c r="AV40" s="656"/>
      <c r="AW40" s="656"/>
      <c r="AX40" s="656"/>
      <c r="AY40" s="656"/>
      <c r="AZ40" s="656"/>
      <c r="BA40" s="656"/>
      <c r="BB40" s="656"/>
      <c r="BC40" s="656"/>
      <c r="BD40" s="656"/>
      <c r="BE40" s="656"/>
      <c r="BF40" s="656"/>
      <c r="BG40" s="656"/>
      <c r="BH40" s="656"/>
      <c r="BI40" s="656"/>
      <c r="BJ40" s="656"/>
      <c r="BK40" s="656"/>
      <c r="BL40" s="656"/>
      <c r="BM40" s="656"/>
      <c r="BN40" s="656"/>
      <c r="BO40" s="656"/>
      <c r="BP40" s="656"/>
      <c r="BQ40" s="656"/>
      <c r="BR40" s="656"/>
      <c r="BS40" s="656"/>
      <c r="BT40" s="656"/>
      <c r="BU40" s="656"/>
      <c r="BV40" s="656"/>
      <c r="BW40" s="656"/>
      <c r="BX40" s="656"/>
      <c r="BY40" s="656"/>
      <c r="BZ40" s="656"/>
      <c r="CA40" s="656"/>
      <c r="CB40" s="656"/>
      <c r="CC40" s="656"/>
      <c r="CD40" s="656"/>
      <c r="CE40" s="656"/>
      <c r="CF40" s="656"/>
      <c r="CG40" s="656"/>
      <c r="CH40" s="656"/>
      <c r="CI40" s="656"/>
      <c r="CJ40" s="656"/>
      <c r="CK40" s="656"/>
      <c r="CL40" s="656"/>
      <c r="CM40" s="657"/>
      <c r="CN40" s="667" t="s">
        <v>410</v>
      </c>
      <c r="CO40" s="668"/>
      <c r="CP40" s="668"/>
      <c r="CQ40" s="668"/>
      <c r="CR40" s="668"/>
      <c r="CS40" s="668"/>
      <c r="CT40" s="668"/>
      <c r="CU40" s="669"/>
      <c r="CV40" s="670" t="s">
        <v>411</v>
      </c>
      <c r="CW40" s="668"/>
      <c r="CX40" s="668"/>
      <c r="CY40" s="668"/>
      <c r="CZ40" s="668"/>
      <c r="DA40" s="668"/>
      <c r="DB40" s="668"/>
      <c r="DC40" s="668"/>
      <c r="DD40" s="668"/>
      <c r="DE40" s="669"/>
      <c r="DF40" s="670" t="s">
        <v>404</v>
      </c>
      <c r="DG40" s="668"/>
      <c r="DH40" s="668"/>
      <c r="DI40" s="668"/>
      <c r="DJ40" s="668"/>
      <c r="DK40" s="668"/>
      <c r="DL40" s="668"/>
      <c r="DM40" s="668"/>
      <c r="DN40" s="668"/>
      <c r="DO40" s="668"/>
      <c r="DP40" s="668"/>
      <c r="DQ40" s="668"/>
      <c r="DR40" s="669"/>
      <c r="DS40" s="671"/>
      <c r="DT40" s="672"/>
      <c r="DU40" s="672"/>
      <c r="DV40" s="672"/>
      <c r="DW40" s="672"/>
      <c r="DX40" s="672"/>
      <c r="DY40" s="672"/>
      <c r="DZ40" s="672"/>
      <c r="EA40" s="672"/>
      <c r="EB40" s="672"/>
      <c r="EC40" s="672"/>
      <c r="ED40" s="672"/>
      <c r="EE40" s="673"/>
      <c r="EF40" s="671"/>
      <c r="EG40" s="672"/>
      <c r="EH40" s="672"/>
      <c r="EI40" s="672"/>
      <c r="EJ40" s="672"/>
      <c r="EK40" s="672"/>
      <c r="EL40" s="672"/>
      <c r="EM40" s="672"/>
      <c r="EN40" s="672"/>
      <c r="EO40" s="672"/>
      <c r="EP40" s="672"/>
      <c r="EQ40" s="672"/>
      <c r="ER40" s="673"/>
      <c r="ES40" s="671">
        <v>3107210.53</v>
      </c>
      <c r="ET40" s="672"/>
      <c r="EU40" s="672"/>
      <c r="EV40" s="672"/>
      <c r="EW40" s="672"/>
      <c r="EX40" s="672"/>
      <c r="EY40" s="672"/>
      <c r="EZ40" s="672"/>
      <c r="FA40" s="672"/>
      <c r="FB40" s="672"/>
      <c r="FC40" s="672"/>
      <c r="FD40" s="672"/>
      <c r="FE40" s="673"/>
      <c r="FF40" s="426"/>
      <c r="FG40" s="427"/>
      <c r="FH40" s="427"/>
      <c r="FI40" s="427"/>
      <c r="FJ40" s="427"/>
      <c r="FK40" s="427"/>
      <c r="FL40" s="427"/>
      <c r="FM40" s="427"/>
      <c r="FN40" s="427"/>
      <c r="FO40" s="427"/>
      <c r="FP40" s="427"/>
      <c r="FQ40" s="427"/>
      <c r="FR40" s="437"/>
    </row>
    <row r="42" spans="1:174" ht="12" customHeight="1" x14ac:dyDescent="0.2">
      <c r="I42" s="429" t="s">
        <v>349</v>
      </c>
    </row>
    <row r="43" spans="1:174" ht="12" customHeight="1" x14ac:dyDescent="0.2">
      <c r="I43" s="429" t="s">
        <v>350</v>
      </c>
      <c r="AQ43" s="674" t="s">
        <v>444</v>
      </c>
      <c r="AR43" s="674"/>
      <c r="AS43" s="674"/>
      <c r="AT43" s="674"/>
      <c r="AU43" s="674"/>
      <c r="AV43" s="674"/>
      <c r="AW43" s="674"/>
      <c r="AX43" s="674"/>
      <c r="AY43" s="674"/>
      <c r="AZ43" s="674"/>
      <c r="BA43" s="674"/>
      <c r="BB43" s="674"/>
      <c r="BC43" s="674"/>
      <c r="BD43" s="674"/>
      <c r="BE43" s="674"/>
      <c r="BF43" s="674"/>
      <c r="BG43" s="674"/>
      <c r="BH43" s="674"/>
      <c r="BK43" s="674"/>
      <c r="BL43" s="674"/>
      <c r="BM43" s="674"/>
      <c r="BN43" s="674"/>
      <c r="BO43" s="674"/>
      <c r="BP43" s="674"/>
      <c r="BQ43" s="674"/>
      <c r="BR43" s="674"/>
      <c r="BS43" s="674"/>
      <c r="BT43" s="674"/>
      <c r="BU43" s="674"/>
      <c r="BV43" s="674"/>
      <c r="BY43" s="674" t="s">
        <v>437</v>
      </c>
      <c r="BZ43" s="674"/>
      <c r="CA43" s="674"/>
      <c r="CB43" s="674"/>
      <c r="CC43" s="674"/>
      <c r="CD43" s="674"/>
      <c r="CE43" s="674"/>
      <c r="CF43" s="674"/>
      <c r="CG43" s="674"/>
      <c r="CH43" s="674"/>
      <c r="CI43" s="674"/>
      <c r="CJ43" s="674"/>
      <c r="CK43" s="674"/>
      <c r="CL43" s="674"/>
      <c r="CM43" s="674"/>
      <c r="CN43" s="674"/>
      <c r="CO43" s="674"/>
      <c r="CP43" s="674"/>
      <c r="CQ43" s="674"/>
      <c r="CR43" s="674"/>
    </row>
    <row r="44" spans="1:174" s="383" customFormat="1" ht="12" customHeight="1" x14ac:dyDescent="0.15">
      <c r="AQ44" s="676" t="s">
        <v>351</v>
      </c>
      <c r="AR44" s="676"/>
      <c r="AS44" s="676"/>
      <c r="AT44" s="676"/>
      <c r="AU44" s="676"/>
      <c r="AV44" s="676"/>
      <c r="AW44" s="676"/>
      <c r="AX44" s="676"/>
      <c r="AY44" s="676"/>
      <c r="AZ44" s="676"/>
      <c r="BA44" s="676"/>
      <c r="BB44" s="676"/>
      <c r="BC44" s="676"/>
      <c r="BD44" s="676"/>
      <c r="BE44" s="676"/>
      <c r="BF44" s="676"/>
      <c r="BG44" s="676"/>
      <c r="BH44" s="676"/>
      <c r="BK44" s="676" t="s">
        <v>175</v>
      </c>
      <c r="BL44" s="676"/>
      <c r="BM44" s="676"/>
      <c r="BN44" s="676"/>
      <c r="BO44" s="676"/>
      <c r="BP44" s="676"/>
      <c r="BQ44" s="676"/>
      <c r="BR44" s="676"/>
      <c r="BS44" s="676"/>
      <c r="BT44" s="676"/>
      <c r="BU44" s="676"/>
      <c r="BV44" s="676"/>
      <c r="BY44" s="676" t="s">
        <v>203</v>
      </c>
      <c r="BZ44" s="676"/>
      <c r="CA44" s="676"/>
      <c r="CB44" s="676"/>
      <c r="CC44" s="676"/>
      <c r="CD44" s="676"/>
      <c r="CE44" s="676"/>
      <c r="CF44" s="676"/>
      <c r="CG44" s="676"/>
      <c r="CH44" s="676"/>
      <c r="CI44" s="676"/>
      <c r="CJ44" s="676"/>
      <c r="CK44" s="676"/>
      <c r="CL44" s="676"/>
      <c r="CM44" s="676"/>
      <c r="CN44" s="676"/>
      <c r="CO44" s="676"/>
      <c r="CP44" s="676"/>
      <c r="CQ44" s="676"/>
      <c r="CR44" s="676"/>
    </row>
    <row r="45" spans="1:174" s="383" customFormat="1" ht="12" customHeight="1" x14ac:dyDescent="0.15">
      <c r="AQ45" s="384"/>
      <c r="AR45" s="384"/>
      <c r="AS45" s="384"/>
      <c r="AT45" s="384"/>
      <c r="AU45" s="384"/>
      <c r="AV45" s="384"/>
      <c r="AW45" s="384"/>
      <c r="AX45" s="384"/>
      <c r="AY45" s="384"/>
      <c r="AZ45" s="384"/>
      <c r="BA45" s="384"/>
      <c r="BB45" s="384"/>
      <c r="BC45" s="384"/>
      <c r="BD45" s="384"/>
      <c r="BE45" s="384"/>
      <c r="BF45" s="384"/>
      <c r="BG45" s="384"/>
      <c r="BH45" s="384"/>
      <c r="BK45" s="384"/>
      <c r="BL45" s="384"/>
      <c r="BM45" s="384"/>
      <c r="BN45" s="384"/>
      <c r="BO45" s="384"/>
      <c r="BP45" s="384"/>
      <c r="BQ45" s="384"/>
      <c r="BR45" s="384"/>
      <c r="BS45" s="384"/>
      <c r="BT45" s="384"/>
      <c r="BU45" s="384"/>
      <c r="BV45" s="384"/>
      <c r="BY45" s="384"/>
      <c r="BZ45" s="384"/>
      <c r="CA45" s="384"/>
      <c r="CB45" s="384"/>
      <c r="CC45" s="384"/>
      <c r="CD45" s="384"/>
      <c r="CE45" s="384"/>
      <c r="CF45" s="384"/>
      <c r="CG45" s="384"/>
      <c r="CH45" s="384"/>
      <c r="CI45" s="384"/>
      <c r="CJ45" s="384"/>
      <c r="CK45" s="384"/>
      <c r="CL45" s="384"/>
      <c r="CM45" s="384"/>
      <c r="CN45" s="384"/>
      <c r="CO45" s="384"/>
      <c r="CP45" s="384"/>
      <c r="CQ45" s="384"/>
      <c r="CR45" s="384"/>
    </row>
    <row r="46" spans="1:174" ht="12" customHeight="1" x14ac:dyDescent="0.2">
      <c r="I46" s="429" t="s">
        <v>193</v>
      </c>
      <c r="AM46" s="674" t="s">
        <v>412</v>
      </c>
      <c r="AN46" s="674"/>
      <c r="AO46" s="674"/>
      <c r="AP46" s="674"/>
      <c r="AQ46" s="674"/>
      <c r="AR46" s="674"/>
      <c r="AS46" s="674"/>
      <c r="AT46" s="674"/>
      <c r="AU46" s="674"/>
      <c r="AV46" s="674"/>
      <c r="AW46" s="674"/>
      <c r="AX46" s="674"/>
      <c r="AY46" s="674"/>
      <c r="AZ46" s="674"/>
      <c r="BA46" s="674"/>
      <c r="BB46" s="674"/>
      <c r="BC46" s="674"/>
      <c r="BD46" s="674"/>
      <c r="BG46" s="674" t="s">
        <v>431</v>
      </c>
      <c r="BH46" s="674"/>
      <c r="BI46" s="674"/>
      <c r="BJ46" s="674"/>
      <c r="BK46" s="674"/>
      <c r="BL46" s="674"/>
      <c r="BM46" s="674"/>
      <c r="BN46" s="674"/>
      <c r="BO46" s="674"/>
      <c r="BP46" s="674"/>
      <c r="BQ46" s="674"/>
      <c r="BR46" s="674"/>
      <c r="BS46" s="674"/>
      <c r="BT46" s="674"/>
      <c r="BU46" s="674"/>
      <c r="BV46" s="674"/>
      <c r="BW46" s="674"/>
      <c r="BX46" s="674"/>
      <c r="CA46" s="675" t="s">
        <v>413</v>
      </c>
      <c r="CB46" s="675"/>
      <c r="CC46" s="675"/>
      <c r="CD46" s="675"/>
      <c r="CE46" s="675"/>
      <c r="CF46" s="675"/>
      <c r="CG46" s="675"/>
      <c r="CH46" s="675"/>
      <c r="CI46" s="675"/>
      <c r="CJ46" s="675"/>
      <c r="CK46" s="675"/>
      <c r="CL46" s="675"/>
      <c r="CM46" s="675"/>
      <c r="CN46" s="675"/>
      <c r="CO46" s="675"/>
      <c r="CP46" s="675"/>
      <c r="CQ46" s="675"/>
      <c r="CR46" s="675"/>
    </row>
    <row r="47" spans="1:174" s="383" customFormat="1" ht="12" customHeight="1" x14ac:dyDescent="0.15">
      <c r="AM47" s="676" t="s">
        <v>351</v>
      </c>
      <c r="AN47" s="676"/>
      <c r="AO47" s="676"/>
      <c r="AP47" s="676"/>
      <c r="AQ47" s="676"/>
      <c r="AR47" s="676"/>
      <c r="AS47" s="676"/>
      <c r="AT47" s="676"/>
      <c r="AU47" s="676"/>
      <c r="AV47" s="676"/>
      <c r="AW47" s="676"/>
      <c r="AX47" s="676"/>
      <c r="AY47" s="676"/>
      <c r="AZ47" s="676"/>
      <c r="BA47" s="676"/>
      <c r="BB47" s="676"/>
      <c r="BC47" s="676"/>
      <c r="BD47" s="676"/>
      <c r="BG47" s="676" t="s">
        <v>352</v>
      </c>
      <c r="BH47" s="676"/>
      <c r="BI47" s="676"/>
      <c r="BJ47" s="676"/>
      <c r="BK47" s="676"/>
      <c r="BL47" s="676"/>
      <c r="BM47" s="676"/>
      <c r="BN47" s="676"/>
      <c r="BO47" s="676"/>
      <c r="BP47" s="676"/>
      <c r="BQ47" s="676"/>
      <c r="BR47" s="676"/>
      <c r="BS47" s="676"/>
      <c r="BT47" s="676"/>
      <c r="BU47" s="676"/>
      <c r="BV47" s="676"/>
      <c r="BW47" s="676"/>
      <c r="BX47" s="676"/>
      <c r="CA47" s="676" t="s">
        <v>353</v>
      </c>
      <c r="CB47" s="676"/>
      <c r="CC47" s="676"/>
      <c r="CD47" s="676"/>
      <c r="CE47" s="676"/>
      <c r="CF47" s="676"/>
      <c r="CG47" s="676"/>
      <c r="CH47" s="676"/>
      <c r="CI47" s="676"/>
      <c r="CJ47" s="676"/>
      <c r="CK47" s="676"/>
      <c r="CL47" s="676"/>
      <c r="CM47" s="676"/>
      <c r="CN47" s="676"/>
      <c r="CO47" s="676"/>
      <c r="CP47" s="676"/>
      <c r="CQ47" s="676"/>
      <c r="CR47" s="676"/>
    </row>
    <row r="48" spans="1:174" s="383" customFormat="1" ht="12" customHeight="1" x14ac:dyDescent="0.15">
      <c r="AM48" s="384"/>
      <c r="AN48" s="384"/>
      <c r="AO48" s="384"/>
      <c r="AP48" s="384"/>
      <c r="AQ48" s="384"/>
      <c r="AR48" s="384"/>
      <c r="AS48" s="384"/>
      <c r="AT48" s="384"/>
      <c r="AU48" s="384"/>
      <c r="AV48" s="384"/>
      <c r="AW48" s="384"/>
      <c r="AX48" s="384"/>
      <c r="AY48" s="384"/>
      <c r="AZ48" s="384"/>
      <c r="BA48" s="384"/>
      <c r="BB48" s="384"/>
      <c r="BC48" s="384"/>
      <c r="BD48" s="384"/>
      <c r="BG48" s="384"/>
      <c r="BH48" s="384"/>
      <c r="BI48" s="384"/>
      <c r="BJ48" s="384"/>
      <c r="BK48" s="384"/>
      <c r="BL48" s="384"/>
      <c r="BM48" s="384"/>
      <c r="BN48" s="384"/>
      <c r="BO48" s="384"/>
      <c r="BP48" s="384"/>
      <c r="BQ48" s="384"/>
      <c r="BR48" s="384"/>
      <c r="BS48" s="384"/>
      <c r="BT48" s="384"/>
      <c r="BU48" s="384"/>
      <c r="BV48" s="384"/>
      <c r="BW48" s="384"/>
      <c r="BX48" s="384"/>
      <c r="CA48" s="384"/>
      <c r="CB48" s="384"/>
      <c r="CC48" s="384"/>
      <c r="CD48" s="384"/>
      <c r="CE48" s="384"/>
      <c r="CF48" s="384"/>
      <c r="CG48" s="384"/>
      <c r="CH48" s="384"/>
      <c r="CI48" s="384"/>
      <c r="CJ48" s="384"/>
      <c r="CK48" s="384"/>
      <c r="CL48" s="384"/>
      <c r="CM48" s="384"/>
      <c r="CN48" s="384"/>
      <c r="CO48" s="384"/>
      <c r="CP48" s="384"/>
      <c r="CQ48" s="384"/>
      <c r="CR48" s="384"/>
    </row>
    <row r="49" spans="1:174" ht="12" customHeight="1" x14ac:dyDescent="0.2">
      <c r="I49" s="681" t="s">
        <v>354</v>
      </c>
      <c r="J49" s="681"/>
      <c r="K49" s="675" t="s">
        <v>440</v>
      </c>
      <c r="L49" s="675"/>
      <c r="M49" s="675"/>
      <c r="N49" s="682" t="s">
        <v>354</v>
      </c>
      <c r="O49" s="682"/>
      <c r="Q49" s="675" t="s">
        <v>441</v>
      </c>
      <c r="R49" s="675"/>
      <c r="S49" s="675"/>
      <c r="T49" s="675"/>
      <c r="U49" s="675"/>
      <c r="V49" s="675"/>
      <c r="W49" s="675"/>
      <c r="X49" s="675"/>
      <c r="Y49" s="675"/>
      <c r="Z49" s="675"/>
      <c r="AA49" s="675"/>
      <c r="AB49" s="675"/>
      <c r="AC49" s="675"/>
      <c r="AD49" s="675"/>
      <c r="AE49" s="675"/>
      <c r="AF49" s="681">
        <v>20</v>
      </c>
      <c r="AG49" s="681"/>
      <c r="AH49" s="681"/>
      <c r="AI49" s="683" t="s">
        <v>364</v>
      </c>
      <c r="AJ49" s="683"/>
      <c r="AK49" s="683"/>
      <c r="AL49" s="429" t="s">
        <v>293</v>
      </c>
    </row>
    <row r="50" spans="1:174" ht="12" customHeight="1" thickBot="1" x14ac:dyDescent="0.25"/>
    <row r="51" spans="1:174" ht="12" customHeight="1" x14ac:dyDescent="0.2">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6"/>
    </row>
    <row r="52" spans="1:174" ht="12" customHeight="1" x14ac:dyDescent="0.2">
      <c r="A52" s="387" t="s">
        <v>355</v>
      </c>
      <c r="CM52" s="388"/>
    </row>
    <row r="53" spans="1:174" ht="12" customHeight="1" x14ac:dyDescent="0.2">
      <c r="A53" s="677" t="s">
        <v>442</v>
      </c>
      <c r="B53" s="674"/>
      <c r="C53" s="674"/>
      <c r="D53" s="674"/>
      <c r="E53" s="674"/>
      <c r="F53" s="674"/>
      <c r="G53" s="674"/>
      <c r="H53" s="674"/>
      <c r="I53" s="674"/>
      <c r="J53" s="674"/>
      <c r="K53" s="674"/>
      <c r="L53" s="674"/>
      <c r="M53" s="674"/>
      <c r="N53" s="674"/>
      <c r="O53" s="674"/>
      <c r="P53" s="674"/>
      <c r="Q53" s="674"/>
      <c r="R53" s="674"/>
      <c r="S53" s="674"/>
      <c r="T53" s="674"/>
      <c r="U53" s="674"/>
      <c r="V53" s="674"/>
      <c r="W53" s="674"/>
      <c r="X53" s="674"/>
      <c r="Y53" s="674"/>
      <c r="Z53" s="674"/>
      <c r="AA53" s="674"/>
      <c r="AB53" s="674"/>
      <c r="AC53" s="674"/>
      <c r="AD53" s="674"/>
      <c r="AE53" s="674"/>
      <c r="AF53" s="674"/>
      <c r="AG53" s="674"/>
      <c r="AH53" s="674"/>
      <c r="AI53" s="674"/>
      <c r="AJ53" s="674"/>
      <c r="AK53" s="674"/>
      <c r="AL53" s="674"/>
      <c r="AM53" s="674"/>
      <c r="AN53" s="674"/>
      <c r="AO53" s="674"/>
      <c r="AP53" s="674"/>
      <c r="AQ53" s="674"/>
      <c r="AR53" s="674"/>
      <c r="AS53" s="674"/>
      <c r="AT53" s="674"/>
      <c r="AU53" s="674"/>
      <c r="AV53" s="674"/>
      <c r="AW53" s="674"/>
      <c r="AX53" s="674"/>
      <c r="AY53" s="674"/>
      <c r="AZ53" s="674"/>
      <c r="BA53" s="674"/>
      <c r="BB53" s="674"/>
      <c r="BC53" s="674"/>
      <c r="BD53" s="674"/>
      <c r="BE53" s="674"/>
      <c r="BF53" s="674"/>
      <c r="BG53" s="674"/>
      <c r="BH53" s="674"/>
      <c r="BI53" s="674"/>
      <c r="BJ53" s="674"/>
      <c r="BK53" s="674"/>
      <c r="BL53" s="674"/>
      <c r="BM53" s="674"/>
      <c r="BN53" s="674"/>
      <c r="BO53" s="674"/>
      <c r="BP53" s="674"/>
      <c r="BQ53" s="674"/>
      <c r="BR53" s="674"/>
      <c r="BS53" s="674"/>
      <c r="BT53" s="674"/>
      <c r="BU53" s="674"/>
      <c r="BV53" s="674"/>
      <c r="BW53" s="674"/>
      <c r="BX53" s="674"/>
      <c r="BY53" s="674"/>
      <c r="BZ53" s="674"/>
      <c r="CA53" s="674"/>
      <c r="CB53" s="674"/>
      <c r="CC53" s="674"/>
      <c r="CD53" s="674"/>
      <c r="CE53" s="674"/>
      <c r="CF53" s="674"/>
      <c r="CG53" s="674"/>
      <c r="CH53" s="674"/>
      <c r="CI53" s="674"/>
      <c r="CJ53" s="674"/>
      <c r="CK53" s="674"/>
      <c r="CL53" s="674"/>
      <c r="CM53" s="678"/>
    </row>
    <row r="54" spans="1:174" s="383" customFormat="1" ht="12" customHeight="1" x14ac:dyDescent="0.15">
      <c r="A54" s="679" t="s">
        <v>356</v>
      </c>
      <c r="B54" s="676"/>
      <c r="C54" s="676"/>
      <c r="D54" s="676"/>
      <c r="E54" s="676"/>
      <c r="F54" s="676"/>
      <c r="G54" s="676"/>
      <c r="H54" s="676"/>
      <c r="I54" s="676"/>
      <c r="J54" s="676"/>
      <c r="K54" s="676"/>
      <c r="L54" s="676"/>
      <c r="M54" s="676"/>
      <c r="N54" s="676"/>
      <c r="O54" s="676"/>
      <c r="P54" s="676"/>
      <c r="Q54" s="676"/>
      <c r="R54" s="676"/>
      <c r="S54" s="676"/>
      <c r="T54" s="676"/>
      <c r="U54" s="676"/>
      <c r="V54" s="676"/>
      <c r="W54" s="676"/>
      <c r="X54" s="676"/>
      <c r="Y54" s="676"/>
      <c r="Z54" s="676"/>
      <c r="AA54" s="676"/>
      <c r="AB54" s="676"/>
      <c r="AC54" s="676"/>
      <c r="AD54" s="676"/>
      <c r="AE54" s="676"/>
      <c r="AF54" s="676"/>
      <c r="AG54" s="676"/>
      <c r="AH54" s="676"/>
      <c r="AI54" s="676"/>
      <c r="AJ54" s="676"/>
      <c r="AK54" s="676"/>
      <c r="AL54" s="676"/>
      <c r="AM54" s="676"/>
      <c r="AN54" s="676"/>
      <c r="AO54" s="676"/>
      <c r="AP54" s="676"/>
      <c r="AQ54" s="676"/>
      <c r="AR54" s="676"/>
      <c r="AS54" s="676"/>
      <c r="AT54" s="676"/>
      <c r="AU54" s="676"/>
      <c r="AV54" s="676"/>
      <c r="AW54" s="676"/>
      <c r="AX54" s="676"/>
      <c r="AY54" s="676"/>
      <c r="AZ54" s="676"/>
      <c r="BA54" s="676"/>
      <c r="BB54" s="676"/>
      <c r="BC54" s="676"/>
      <c r="BD54" s="676"/>
      <c r="BE54" s="676"/>
      <c r="BF54" s="676"/>
      <c r="BG54" s="676"/>
      <c r="BH54" s="676"/>
      <c r="BI54" s="676"/>
      <c r="BJ54" s="676"/>
      <c r="BK54" s="676"/>
      <c r="BL54" s="676"/>
      <c r="BM54" s="676"/>
      <c r="BN54" s="676"/>
      <c r="BO54" s="676"/>
      <c r="BP54" s="676"/>
      <c r="BQ54" s="676"/>
      <c r="BR54" s="676"/>
      <c r="BS54" s="676"/>
      <c r="BT54" s="676"/>
      <c r="BU54" s="676"/>
      <c r="BV54" s="676"/>
      <c r="BW54" s="676"/>
      <c r="BX54" s="676"/>
      <c r="BY54" s="676"/>
      <c r="BZ54" s="676"/>
      <c r="CA54" s="676"/>
      <c r="CB54" s="676"/>
      <c r="CC54" s="676"/>
      <c r="CD54" s="676"/>
      <c r="CE54" s="676"/>
      <c r="CF54" s="676"/>
      <c r="CG54" s="676"/>
      <c r="CH54" s="676"/>
      <c r="CI54" s="676"/>
      <c r="CJ54" s="676"/>
      <c r="CK54" s="676"/>
      <c r="CL54" s="676"/>
      <c r="CM54" s="680"/>
    </row>
    <row r="55" spans="1:174" s="383" customFormat="1" ht="12" customHeight="1" x14ac:dyDescent="0.15">
      <c r="A55" s="389"/>
      <c r="B55" s="384"/>
      <c r="C55" s="384"/>
      <c r="D55" s="384"/>
      <c r="E55" s="384"/>
      <c r="F55" s="384"/>
      <c r="G55" s="384"/>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384"/>
      <c r="AT55" s="384"/>
      <c r="AU55" s="384"/>
      <c r="AV55" s="384"/>
      <c r="AW55" s="384"/>
      <c r="AX55" s="384"/>
      <c r="AY55" s="384"/>
      <c r="AZ55" s="384"/>
      <c r="BA55" s="384"/>
      <c r="BB55" s="384"/>
      <c r="BC55" s="384"/>
      <c r="BD55" s="384"/>
      <c r="BE55" s="384"/>
      <c r="BF55" s="384"/>
      <c r="BG55" s="384"/>
      <c r="BH55" s="384"/>
      <c r="BI55" s="384"/>
      <c r="BJ55" s="384"/>
      <c r="BK55" s="384"/>
      <c r="BL55" s="384"/>
      <c r="BM55" s="384"/>
      <c r="BN55" s="384"/>
      <c r="BO55" s="384"/>
      <c r="BP55" s="384"/>
      <c r="BQ55" s="384"/>
      <c r="BR55" s="384"/>
      <c r="BS55" s="384"/>
      <c r="BT55" s="384"/>
      <c r="BU55" s="384"/>
      <c r="BV55" s="384"/>
      <c r="BW55" s="384"/>
      <c r="BX55" s="384"/>
      <c r="BY55" s="384"/>
      <c r="BZ55" s="384"/>
      <c r="CA55" s="384"/>
      <c r="CB55" s="384"/>
      <c r="CC55" s="384"/>
      <c r="CD55" s="384"/>
      <c r="CE55" s="384"/>
      <c r="CF55" s="384"/>
      <c r="CG55" s="384"/>
      <c r="CH55" s="384"/>
      <c r="CI55" s="384"/>
      <c r="CJ55" s="384"/>
      <c r="CK55" s="384"/>
      <c r="CL55" s="384"/>
      <c r="CM55" s="390"/>
    </row>
    <row r="56" spans="1:174" ht="12" customHeight="1" x14ac:dyDescent="0.2">
      <c r="A56" s="677"/>
      <c r="B56" s="674"/>
      <c r="C56" s="674"/>
      <c r="D56" s="674"/>
      <c r="E56" s="674"/>
      <c r="F56" s="674"/>
      <c r="G56" s="674"/>
      <c r="H56" s="674"/>
      <c r="I56" s="674"/>
      <c r="J56" s="674"/>
      <c r="K56" s="674"/>
      <c r="L56" s="674"/>
      <c r="M56" s="674"/>
      <c r="N56" s="674"/>
      <c r="O56" s="674"/>
      <c r="P56" s="674"/>
      <c r="Q56" s="674"/>
      <c r="R56" s="674"/>
      <c r="S56" s="674"/>
      <c r="T56" s="674"/>
      <c r="U56" s="674"/>
      <c r="V56" s="674"/>
      <c r="W56" s="674"/>
      <c r="X56" s="674"/>
      <c r="Y56" s="674"/>
      <c r="AH56" s="674" t="s">
        <v>443</v>
      </c>
      <c r="AI56" s="674"/>
      <c r="AJ56" s="674"/>
      <c r="AK56" s="674"/>
      <c r="AL56" s="674"/>
      <c r="AM56" s="674"/>
      <c r="AN56" s="674"/>
      <c r="AO56" s="674"/>
      <c r="AP56" s="674"/>
      <c r="AQ56" s="674"/>
      <c r="AR56" s="674"/>
      <c r="AS56" s="674"/>
      <c r="AT56" s="674"/>
      <c r="AU56" s="674"/>
      <c r="AV56" s="674"/>
      <c r="AW56" s="674"/>
      <c r="AX56" s="674"/>
      <c r="AY56" s="674"/>
      <c r="AZ56" s="674"/>
      <c r="BA56" s="674"/>
      <c r="BB56" s="674"/>
      <c r="BC56" s="674"/>
      <c r="BD56" s="674"/>
      <c r="BE56" s="674"/>
      <c r="BF56" s="674"/>
      <c r="BG56" s="674"/>
      <c r="BH56" s="674"/>
      <c r="BI56" s="674"/>
      <c r="BJ56" s="674"/>
      <c r="BK56" s="674"/>
      <c r="BL56" s="674"/>
      <c r="BM56" s="674"/>
      <c r="BN56" s="674"/>
      <c r="BO56" s="674"/>
      <c r="BP56" s="674"/>
      <c r="BQ56" s="674"/>
      <c r="BR56" s="674"/>
      <c r="BS56" s="674"/>
      <c r="BT56" s="674"/>
      <c r="BU56" s="674"/>
      <c r="BV56" s="674"/>
      <c r="BW56" s="674"/>
      <c r="BX56" s="674"/>
      <c r="BY56" s="674"/>
      <c r="BZ56" s="674"/>
      <c r="CA56" s="674"/>
      <c r="CB56" s="674"/>
      <c r="CC56" s="674"/>
      <c r="CD56" s="674"/>
      <c r="CE56" s="674"/>
      <c r="CF56" s="674"/>
      <c r="CG56" s="674"/>
      <c r="CH56" s="674"/>
      <c r="CI56" s="674"/>
      <c r="CJ56" s="674"/>
      <c r="CK56" s="674"/>
      <c r="CL56" s="674"/>
      <c r="CM56" s="678"/>
    </row>
    <row r="57" spans="1:174" s="383" customFormat="1" ht="12" customHeight="1" x14ac:dyDescent="0.15">
      <c r="A57" s="679" t="s">
        <v>175</v>
      </c>
      <c r="B57" s="676"/>
      <c r="C57" s="676"/>
      <c r="D57" s="676"/>
      <c r="E57" s="676"/>
      <c r="F57" s="676"/>
      <c r="G57" s="676"/>
      <c r="H57" s="676"/>
      <c r="I57" s="676"/>
      <c r="J57" s="676"/>
      <c r="K57" s="676"/>
      <c r="L57" s="676"/>
      <c r="M57" s="676"/>
      <c r="N57" s="676"/>
      <c r="O57" s="676"/>
      <c r="P57" s="676"/>
      <c r="Q57" s="676"/>
      <c r="R57" s="676"/>
      <c r="S57" s="676"/>
      <c r="T57" s="676"/>
      <c r="U57" s="676"/>
      <c r="V57" s="676"/>
      <c r="W57" s="676"/>
      <c r="X57" s="676"/>
      <c r="Y57" s="676"/>
      <c r="AH57" s="676" t="s">
        <v>203</v>
      </c>
      <c r="AI57" s="676"/>
      <c r="AJ57" s="676"/>
      <c r="AK57" s="676"/>
      <c r="AL57" s="676"/>
      <c r="AM57" s="676"/>
      <c r="AN57" s="676"/>
      <c r="AO57" s="676"/>
      <c r="AP57" s="676"/>
      <c r="AQ57" s="676"/>
      <c r="AR57" s="676"/>
      <c r="AS57" s="676"/>
      <c r="AT57" s="676"/>
      <c r="AU57" s="676"/>
      <c r="AV57" s="676"/>
      <c r="AW57" s="676"/>
      <c r="AX57" s="676"/>
      <c r="AY57" s="676"/>
      <c r="AZ57" s="676"/>
      <c r="BA57" s="676"/>
      <c r="BB57" s="676"/>
      <c r="BC57" s="676"/>
      <c r="BD57" s="676"/>
      <c r="BE57" s="676"/>
      <c r="BF57" s="676"/>
      <c r="BG57" s="676"/>
      <c r="BH57" s="676"/>
      <c r="BI57" s="676"/>
      <c r="BJ57" s="676"/>
      <c r="BK57" s="676"/>
      <c r="BL57" s="676"/>
      <c r="BM57" s="676"/>
      <c r="BN57" s="676"/>
      <c r="BO57" s="676"/>
      <c r="BP57" s="676"/>
      <c r="BQ57" s="676"/>
      <c r="BR57" s="676"/>
      <c r="BS57" s="676"/>
      <c r="BT57" s="676"/>
      <c r="BU57" s="676"/>
      <c r="BV57" s="676"/>
      <c r="BW57" s="676"/>
      <c r="BX57" s="676"/>
      <c r="BY57" s="676"/>
      <c r="BZ57" s="676"/>
      <c r="CA57" s="676"/>
      <c r="CB57" s="676"/>
      <c r="CC57" s="676"/>
      <c r="CD57" s="676"/>
      <c r="CE57" s="676"/>
      <c r="CF57" s="676"/>
      <c r="CG57" s="676"/>
      <c r="CH57" s="676"/>
      <c r="CI57" s="676"/>
      <c r="CJ57" s="676"/>
      <c r="CK57" s="676"/>
      <c r="CL57" s="676"/>
      <c r="CM57" s="680"/>
    </row>
    <row r="58" spans="1:174" ht="12" customHeight="1" x14ac:dyDescent="0.2">
      <c r="A58" s="387"/>
      <c r="CM58" s="388"/>
    </row>
    <row r="59" spans="1:174" ht="12" customHeight="1" x14ac:dyDescent="0.2">
      <c r="A59" s="688" t="s">
        <v>354</v>
      </c>
      <c r="B59" s="681"/>
      <c r="C59" s="675" t="s">
        <v>440</v>
      </c>
      <c r="D59" s="675"/>
      <c r="E59" s="675"/>
      <c r="F59" s="682" t="s">
        <v>354</v>
      </c>
      <c r="G59" s="682"/>
      <c r="I59" s="675" t="s">
        <v>441</v>
      </c>
      <c r="J59" s="675"/>
      <c r="K59" s="675"/>
      <c r="L59" s="675"/>
      <c r="M59" s="675"/>
      <c r="N59" s="675"/>
      <c r="O59" s="675"/>
      <c r="P59" s="675"/>
      <c r="Q59" s="675"/>
      <c r="R59" s="675"/>
      <c r="S59" s="675"/>
      <c r="T59" s="675"/>
      <c r="U59" s="675"/>
      <c r="V59" s="675"/>
      <c r="W59" s="675"/>
      <c r="X59" s="681">
        <v>20</v>
      </c>
      <c r="Y59" s="681"/>
      <c r="Z59" s="681"/>
      <c r="AA59" s="683" t="s">
        <v>364</v>
      </c>
      <c r="AB59" s="683"/>
      <c r="AC59" s="683"/>
      <c r="AD59" s="429" t="s">
        <v>293</v>
      </c>
      <c r="CM59" s="388"/>
    </row>
    <row r="60" spans="1:174" ht="12" customHeight="1" thickBot="1" x14ac:dyDescent="0.25">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2"/>
      <c r="AY60" s="392"/>
      <c r="AZ60" s="392"/>
      <c r="BA60" s="392"/>
      <c r="BB60" s="392"/>
      <c r="BC60" s="392"/>
      <c r="BD60" s="392"/>
      <c r="BE60" s="392"/>
      <c r="BF60" s="392"/>
      <c r="BG60" s="392"/>
      <c r="BH60" s="392"/>
      <c r="BI60" s="392"/>
      <c r="BJ60" s="392"/>
      <c r="BK60" s="392"/>
      <c r="BL60" s="392"/>
      <c r="BM60" s="392"/>
      <c r="BN60" s="392"/>
      <c r="BO60" s="392"/>
      <c r="BP60" s="392"/>
      <c r="BQ60" s="392"/>
      <c r="BR60" s="392"/>
      <c r="BS60" s="392"/>
      <c r="BT60" s="392"/>
      <c r="BU60" s="392"/>
      <c r="BV60" s="392"/>
      <c r="BW60" s="392"/>
      <c r="BX60" s="392"/>
      <c r="BY60" s="392"/>
      <c r="BZ60" s="392"/>
      <c r="CA60" s="392"/>
      <c r="CB60" s="392"/>
      <c r="CC60" s="392"/>
      <c r="CD60" s="392"/>
      <c r="CE60" s="392"/>
      <c r="CF60" s="392"/>
      <c r="CG60" s="392"/>
      <c r="CH60" s="392"/>
      <c r="CI60" s="392"/>
      <c r="CJ60" s="392"/>
      <c r="CK60" s="392"/>
      <c r="CL60" s="392"/>
      <c r="CM60" s="393"/>
    </row>
    <row r="61" spans="1:174" ht="12" customHeight="1" x14ac:dyDescent="0.2">
      <c r="A61" s="394"/>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row>
    <row r="62" spans="1:174" s="428" customFormat="1" ht="12" customHeight="1" x14ac:dyDescent="0.2">
      <c r="A62" s="684" t="s">
        <v>357</v>
      </c>
      <c r="B62" s="684"/>
      <c r="C62" s="684"/>
      <c r="D62" s="684"/>
      <c r="E62" s="684"/>
      <c r="F62" s="684"/>
      <c r="G62" s="684"/>
      <c r="H62" s="684"/>
      <c r="I62" s="684"/>
      <c r="J62" s="684"/>
      <c r="K62" s="684"/>
      <c r="L62" s="684"/>
      <c r="M62" s="684"/>
      <c r="N62" s="684"/>
      <c r="O62" s="684"/>
      <c r="P62" s="684"/>
      <c r="Q62" s="684"/>
      <c r="R62" s="684"/>
      <c r="S62" s="684"/>
      <c r="T62" s="684"/>
      <c r="U62" s="684"/>
      <c r="V62" s="684"/>
      <c r="W62" s="684"/>
      <c r="X62" s="684"/>
      <c r="Y62" s="684"/>
      <c r="Z62" s="684"/>
      <c r="AA62" s="684"/>
      <c r="AB62" s="684"/>
      <c r="AC62" s="684"/>
      <c r="AD62" s="684"/>
      <c r="AE62" s="684"/>
      <c r="AF62" s="684"/>
      <c r="AG62" s="684"/>
      <c r="AH62" s="684"/>
      <c r="AI62" s="684"/>
      <c r="AJ62" s="684"/>
      <c r="AK62" s="684"/>
      <c r="AL62" s="684"/>
      <c r="AM62" s="684"/>
      <c r="AN62" s="684"/>
      <c r="AO62" s="684"/>
      <c r="AP62" s="684"/>
      <c r="AQ62" s="684"/>
      <c r="AR62" s="684"/>
      <c r="AS62" s="684"/>
      <c r="AT62" s="684"/>
      <c r="AU62" s="684"/>
      <c r="AV62" s="684"/>
      <c r="AW62" s="684"/>
      <c r="AX62" s="684"/>
      <c r="AY62" s="684"/>
      <c r="AZ62" s="684"/>
      <c r="BA62" s="684"/>
      <c r="BB62" s="684"/>
      <c r="BC62" s="684"/>
      <c r="BD62" s="684"/>
      <c r="BE62" s="684"/>
      <c r="BF62" s="684"/>
      <c r="BG62" s="684"/>
      <c r="BH62" s="684"/>
      <c r="BI62" s="684"/>
      <c r="BJ62" s="684"/>
      <c r="BK62" s="684"/>
      <c r="BL62" s="684"/>
      <c r="BM62" s="684"/>
      <c r="BN62" s="684"/>
      <c r="BO62" s="684"/>
      <c r="BP62" s="684"/>
      <c r="BQ62" s="684"/>
      <c r="BR62" s="684"/>
      <c r="BS62" s="684"/>
      <c r="BT62" s="684"/>
      <c r="BU62" s="684"/>
      <c r="BV62" s="684"/>
      <c r="BW62" s="684"/>
      <c r="BX62" s="684"/>
      <c r="BY62" s="684"/>
      <c r="BZ62" s="684"/>
      <c r="CA62" s="684"/>
      <c r="CB62" s="684"/>
      <c r="CC62" s="684"/>
      <c r="CD62" s="684"/>
      <c r="CE62" s="684"/>
      <c r="CF62" s="684"/>
      <c r="CG62" s="684"/>
      <c r="CH62" s="684"/>
      <c r="CI62" s="684"/>
      <c r="CJ62" s="684"/>
      <c r="CK62" s="684"/>
      <c r="CL62" s="684"/>
      <c r="CM62" s="684"/>
      <c r="CN62" s="684"/>
      <c r="CO62" s="684"/>
      <c r="CP62" s="684"/>
      <c r="CQ62" s="684"/>
      <c r="CR62" s="684"/>
      <c r="CS62" s="684"/>
      <c r="CT62" s="684"/>
      <c r="CU62" s="684"/>
      <c r="CV62" s="684"/>
      <c r="CW62" s="684"/>
      <c r="CX62" s="684"/>
      <c r="CY62" s="684"/>
      <c r="CZ62" s="684"/>
      <c r="DA62" s="684"/>
      <c r="DB62" s="684"/>
      <c r="DC62" s="684"/>
      <c r="DD62" s="684"/>
      <c r="DE62" s="684"/>
      <c r="DF62" s="684"/>
      <c r="DG62" s="684"/>
      <c r="DH62" s="684"/>
      <c r="DI62" s="684"/>
      <c r="DJ62" s="684"/>
      <c r="DK62" s="684"/>
      <c r="DL62" s="684"/>
      <c r="DM62" s="684"/>
      <c r="DN62" s="684"/>
      <c r="DO62" s="684"/>
      <c r="DP62" s="684"/>
      <c r="DQ62" s="684"/>
      <c r="DR62" s="684"/>
      <c r="DS62" s="684"/>
      <c r="DT62" s="684"/>
      <c r="DU62" s="684"/>
      <c r="DV62" s="684"/>
      <c r="DW62" s="684"/>
      <c r="DX62" s="684"/>
      <c r="DY62" s="684"/>
      <c r="DZ62" s="684"/>
      <c r="EA62" s="684"/>
      <c r="EB62" s="684"/>
      <c r="EC62" s="684"/>
      <c r="ED62" s="684"/>
      <c r="EE62" s="684"/>
      <c r="EF62" s="684"/>
      <c r="EG62" s="684"/>
      <c r="EH62" s="684"/>
      <c r="EI62" s="684"/>
      <c r="EJ62" s="684"/>
      <c r="EK62" s="684"/>
      <c r="EL62" s="684"/>
      <c r="EM62" s="684"/>
      <c r="EN62" s="684"/>
      <c r="EO62" s="684"/>
      <c r="EP62" s="684"/>
      <c r="EQ62" s="684"/>
      <c r="ER62" s="684"/>
      <c r="ES62" s="684"/>
      <c r="ET62" s="684"/>
      <c r="EU62" s="684"/>
      <c r="EV62" s="684"/>
      <c r="EW62" s="684"/>
      <c r="EX62" s="684"/>
      <c r="EY62" s="684"/>
      <c r="EZ62" s="684"/>
      <c r="FA62" s="684"/>
      <c r="FB62" s="684"/>
      <c r="FC62" s="684"/>
      <c r="FD62" s="684"/>
      <c r="FE62" s="684"/>
      <c r="FF62" s="684"/>
      <c r="FG62" s="684"/>
      <c r="FH62" s="684"/>
      <c r="FI62" s="684"/>
      <c r="FJ62" s="684"/>
      <c r="FK62" s="684"/>
      <c r="FL62" s="684"/>
      <c r="FM62" s="684"/>
      <c r="FN62" s="684"/>
      <c r="FO62" s="684"/>
      <c r="FP62" s="684"/>
      <c r="FQ62" s="684"/>
      <c r="FR62" s="684"/>
    </row>
    <row r="63" spans="1:174" s="428" customFormat="1" ht="12" customHeight="1" x14ac:dyDescent="0.2">
      <c r="A63" s="685" t="s">
        <v>384</v>
      </c>
      <c r="B63" s="685"/>
      <c r="C63" s="685"/>
      <c r="D63" s="685"/>
      <c r="E63" s="685"/>
      <c r="F63" s="685"/>
      <c r="G63" s="685"/>
      <c r="H63" s="685"/>
      <c r="I63" s="685"/>
      <c r="J63" s="685"/>
      <c r="K63" s="685"/>
      <c r="L63" s="685"/>
      <c r="M63" s="685"/>
      <c r="N63" s="685"/>
      <c r="O63" s="685"/>
      <c r="P63" s="685"/>
      <c r="Q63" s="685"/>
      <c r="R63" s="685"/>
      <c r="S63" s="685"/>
      <c r="T63" s="685"/>
      <c r="U63" s="685"/>
      <c r="V63" s="685"/>
      <c r="W63" s="685"/>
      <c r="X63" s="685"/>
      <c r="Y63" s="685"/>
      <c r="Z63" s="685"/>
      <c r="AA63" s="685"/>
      <c r="AB63" s="685"/>
      <c r="AC63" s="685"/>
      <c r="AD63" s="685"/>
      <c r="AE63" s="685"/>
      <c r="AF63" s="685"/>
      <c r="AG63" s="685"/>
      <c r="AH63" s="685"/>
      <c r="AI63" s="685"/>
      <c r="AJ63" s="685"/>
      <c r="AK63" s="685"/>
      <c r="AL63" s="685"/>
      <c r="AM63" s="685"/>
      <c r="AN63" s="685"/>
      <c r="AO63" s="685"/>
      <c r="AP63" s="685"/>
      <c r="AQ63" s="685"/>
      <c r="AR63" s="685"/>
      <c r="AS63" s="685"/>
      <c r="AT63" s="685"/>
      <c r="AU63" s="685"/>
      <c r="AV63" s="685"/>
      <c r="AW63" s="685"/>
      <c r="AX63" s="685"/>
      <c r="AY63" s="685"/>
      <c r="AZ63" s="685"/>
      <c r="BA63" s="685"/>
      <c r="BB63" s="685"/>
      <c r="BC63" s="685"/>
      <c r="BD63" s="685"/>
      <c r="BE63" s="685"/>
      <c r="BF63" s="685"/>
      <c r="BG63" s="685"/>
      <c r="BH63" s="685"/>
      <c r="BI63" s="685"/>
      <c r="BJ63" s="685"/>
      <c r="BK63" s="685"/>
      <c r="BL63" s="685"/>
      <c r="BM63" s="685"/>
      <c r="BN63" s="685"/>
      <c r="BO63" s="685"/>
      <c r="BP63" s="685"/>
      <c r="BQ63" s="685"/>
      <c r="BR63" s="685"/>
      <c r="BS63" s="685"/>
      <c r="BT63" s="685"/>
      <c r="BU63" s="685"/>
      <c r="BV63" s="685"/>
      <c r="BW63" s="685"/>
      <c r="BX63" s="685"/>
      <c r="BY63" s="685"/>
      <c r="BZ63" s="685"/>
      <c r="CA63" s="685"/>
      <c r="CB63" s="685"/>
      <c r="CC63" s="685"/>
      <c r="CD63" s="685"/>
      <c r="CE63" s="685"/>
      <c r="CF63" s="685"/>
      <c r="CG63" s="685"/>
      <c r="CH63" s="685"/>
      <c r="CI63" s="685"/>
      <c r="CJ63" s="685"/>
      <c r="CK63" s="685"/>
      <c r="CL63" s="685"/>
      <c r="CM63" s="685"/>
      <c r="CN63" s="685"/>
      <c r="CO63" s="685"/>
      <c r="CP63" s="685"/>
      <c r="CQ63" s="685"/>
      <c r="CR63" s="685"/>
      <c r="CS63" s="685"/>
      <c r="CT63" s="685"/>
      <c r="CU63" s="685"/>
      <c r="CV63" s="685"/>
      <c r="CW63" s="685"/>
      <c r="CX63" s="685"/>
      <c r="CY63" s="685"/>
      <c r="CZ63" s="685"/>
      <c r="DA63" s="685"/>
      <c r="DB63" s="685"/>
      <c r="DC63" s="685"/>
      <c r="DD63" s="685"/>
      <c r="DE63" s="685"/>
      <c r="DF63" s="685"/>
      <c r="DG63" s="685"/>
      <c r="DH63" s="685"/>
      <c r="DI63" s="685"/>
      <c r="DJ63" s="685"/>
      <c r="DK63" s="685"/>
      <c r="DL63" s="685"/>
      <c r="DM63" s="685"/>
      <c r="DN63" s="685"/>
      <c r="DO63" s="685"/>
      <c r="DP63" s="685"/>
      <c r="DQ63" s="685"/>
      <c r="DR63" s="685"/>
      <c r="DS63" s="685"/>
      <c r="DT63" s="685"/>
      <c r="DU63" s="685"/>
      <c r="DV63" s="685"/>
      <c r="DW63" s="685"/>
      <c r="DX63" s="685"/>
      <c r="DY63" s="685"/>
      <c r="DZ63" s="685"/>
      <c r="EA63" s="685"/>
      <c r="EB63" s="685"/>
      <c r="EC63" s="685"/>
      <c r="ED63" s="685"/>
      <c r="EE63" s="685"/>
      <c r="EF63" s="685"/>
      <c r="EG63" s="685"/>
      <c r="EH63" s="685"/>
      <c r="EI63" s="685"/>
      <c r="EJ63" s="685"/>
      <c r="EK63" s="685"/>
      <c r="EL63" s="685"/>
      <c r="EM63" s="685"/>
      <c r="EN63" s="685"/>
      <c r="EO63" s="685"/>
      <c r="EP63" s="685"/>
      <c r="EQ63" s="685"/>
      <c r="ER63" s="685"/>
      <c r="ES63" s="685"/>
      <c r="ET63" s="685"/>
      <c r="EU63" s="685"/>
      <c r="EV63" s="685"/>
      <c r="EW63" s="685"/>
      <c r="EX63" s="685"/>
      <c r="EY63" s="685"/>
      <c r="EZ63" s="685"/>
      <c r="FA63" s="685"/>
      <c r="FB63" s="685"/>
      <c r="FC63" s="685"/>
      <c r="FD63" s="685"/>
      <c r="FE63" s="685"/>
      <c r="FF63" s="685"/>
      <c r="FG63" s="685"/>
      <c r="FH63" s="685"/>
      <c r="FI63" s="685"/>
      <c r="FJ63" s="685"/>
      <c r="FK63" s="685"/>
      <c r="FL63" s="685"/>
      <c r="FM63" s="685"/>
      <c r="FN63" s="685"/>
      <c r="FO63" s="685"/>
      <c r="FP63" s="685"/>
      <c r="FQ63" s="685"/>
      <c r="FR63" s="685"/>
    </row>
    <row r="64" spans="1:174" s="428" customFormat="1" ht="12" customHeight="1" x14ac:dyDescent="0.2">
      <c r="A64" s="685" t="s">
        <v>385</v>
      </c>
      <c r="B64" s="685"/>
      <c r="C64" s="685"/>
      <c r="D64" s="685"/>
      <c r="E64" s="685"/>
      <c r="F64" s="685"/>
      <c r="G64" s="685"/>
      <c r="H64" s="685"/>
      <c r="I64" s="685"/>
      <c r="J64" s="685"/>
      <c r="K64" s="685"/>
      <c r="L64" s="685"/>
      <c r="M64" s="685"/>
      <c r="N64" s="685"/>
      <c r="O64" s="685"/>
      <c r="P64" s="685"/>
      <c r="Q64" s="685"/>
      <c r="R64" s="685"/>
      <c r="S64" s="685"/>
      <c r="T64" s="685"/>
      <c r="U64" s="685"/>
      <c r="V64" s="685"/>
      <c r="W64" s="685"/>
      <c r="X64" s="685"/>
      <c r="Y64" s="685"/>
      <c r="Z64" s="685"/>
      <c r="AA64" s="685"/>
      <c r="AB64" s="685"/>
      <c r="AC64" s="685"/>
      <c r="AD64" s="685"/>
      <c r="AE64" s="685"/>
      <c r="AF64" s="685"/>
      <c r="AG64" s="685"/>
      <c r="AH64" s="685"/>
      <c r="AI64" s="685"/>
      <c r="AJ64" s="685"/>
      <c r="AK64" s="685"/>
      <c r="AL64" s="685"/>
      <c r="AM64" s="685"/>
      <c r="AN64" s="685"/>
      <c r="AO64" s="685"/>
      <c r="AP64" s="685"/>
      <c r="AQ64" s="685"/>
      <c r="AR64" s="685"/>
      <c r="AS64" s="685"/>
      <c r="AT64" s="685"/>
      <c r="AU64" s="685"/>
      <c r="AV64" s="685"/>
      <c r="AW64" s="685"/>
      <c r="AX64" s="685"/>
      <c r="AY64" s="685"/>
      <c r="AZ64" s="685"/>
      <c r="BA64" s="685"/>
      <c r="BB64" s="685"/>
      <c r="BC64" s="685"/>
      <c r="BD64" s="685"/>
      <c r="BE64" s="685"/>
      <c r="BF64" s="685"/>
      <c r="BG64" s="685"/>
      <c r="BH64" s="685"/>
      <c r="BI64" s="685"/>
      <c r="BJ64" s="685"/>
      <c r="BK64" s="685"/>
      <c r="BL64" s="685"/>
      <c r="BM64" s="685"/>
      <c r="BN64" s="685"/>
      <c r="BO64" s="685"/>
      <c r="BP64" s="685"/>
      <c r="BQ64" s="685"/>
      <c r="BR64" s="685"/>
      <c r="BS64" s="685"/>
      <c r="BT64" s="685"/>
      <c r="BU64" s="685"/>
      <c r="BV64" s="685"/>
      <c r="BW64" s="685"/>
      <c r="BX64" s="685"/>
      <c r="BY64" s="685"/>
      <c r="BZ64" s="685"/>
      <c r="CA64" s="685"/>
      <c r="CB64" s="685"/>
      <c r="CC64" s="685"/>
      <c r="CD64" s="685"/>
      <c r="CE64" s="685"/>
      <c r="CF64" s="685"/>
      <c r="CG64" s="685"/>
      <c r="CH64" s="685"/>
      <c r="CI64" s="685"/>
      <c r="CJ64" s="685"/>
      <c r="CK64" s="685"/>
      <c r="CL64" s="685"/>
      <c r="CM64" s="685"/>
      <c r="CN64" s="685"/>
      <c r="CO64" s="685"/>
      <c r="CP64" s="685"/>
      <c r="CQ64" s="685"/>
      <c r="CR64" s="685"/>
      <c r="CS64" s="685"/>
      <c r="CT64" s="685"/>
      <c r="CU64" s="685"/>
      <c r="CV64" s="685"/>
      <c r="CW64" s="685"/>
      <c r="CX64" s="685"/>
      <c r="CY64" s="685"/>
      <c r="CZ64" s="685"/>
      <c r="DA64" s="685"/>
      <c r="DB64" s="685"/>
      <c r="DC64" s="685"/>
      <c r="DD64" s="685"/>
      <c r="DE64" s="685"/>
      <c r="DF64" s="685"/>
      <c r="DG64" s="685"/>
      <c r="DH64" s="685"/>
      <c r="DI64" s="685"/>
      <c r="DJ64" s="685"/>
      <c r="DK64" s="685"/>
      <c r="DL64" s="685"/>
      <c r="DM64" s="685"/>
      <c r="DN64" s="685"/>
      <c r="DO64" s="685"/>
      <c r="DP64" s="685"/>
      <c r="DQ64" s="685"/>
      <c r="DR64" s="685"/>
      <c r="DS64" s="685"/>
      <c r="DT64" s="685"/>
      <c r="DU64" s="685"/>
      <c r="DV64" s="685"/>
      <c r="DW64" s="685"/>
      <c r="DX64" s="685"/>
      <c r="DY64" s="685"/>
      <c r="DZ64" s="685"/>
      <c r="EA64" s="685"/>
      <c r="EB64" s="685"/>
      <c r="EC64" s="685"/>
      <c r="ED64" s="685"/>
      <c r="EE64" s="685"/>
      <c r="EF64" s="685"/>
      <c r="EG64" s="685"/>
      <c r="EH64" s="685"/>
      <c r="EI64" s="685"/>
      <c r="EJ64" s="685"/>
      <c r="EK64" s="685"/>
      <c r="EL64" s="685"/>
      <c r="EM64" s="685"/>
      <c r="EN64" s="685"/>
      <c r="EO64" s="685"/>
      <c r="EP64" s="685"/>
      <c r="EQ64" s="685"/>
      <c r="ER64" s="685"/>
      <c r="ES64" s="685"/>
      <c r="ET64" s="685"/>
      <c r="EU64" s="685"/>
      <c r="EV64" s="685"/>
      <c r="EW64" s="685"/>
      <c r="EX64" s="685"/>
      <c r="EY64" s="685"/>
      <c r="EZ64" s="685"/>
      <c r="FA64" s="685"/>
      <c r="FB64" s="685"/>
      <c r="FC64" s="685"/>
      <c r="FD64" s="685"/>
      <c r="FE64" s="685"/>
      <c r="FF64" s="685"/>
      <c r="FG64" s="685"/>
      <c r="FH64" s="685"/>
      <c r="FI64" s="685"/>
      <c r="FJ64" s="685"/>
      <c r="FK64" s="685"/>
      <c r="FL64" s="685"/>
      <c r="FM64" s="685"/>
      <c r="FN64" s="685"/>
      <c r="FO64" s="685"/>
      <c r="FP64" s="685"/>
      <c r="FQ64" s="685"/>
      <c r="FR64" s="685"/>
    </row>
    <row r="65" spans="1:174" s="428" customFormat="1" ht="12" customHeight="1" x14ac:dyDescent="0.2">
      <c r="A65" s="686" t="s">
        <v>358</v>
      </c>
      <c r="B65" s="686"/>
      <c r="C65" s="686"/>
      <c r="D65" s="686"/>
      <c r="E65" s="686"/>
      <c r="F65" s="686"/>
      <c r="G65" s="686"/>
      <c r="H65" s="686"/>
      <c r="I65" s="686"/>
      <c r="J65" s="686"/>
      <c r="K65" s="686"/>
      <c r="L65" s="686"/>
      <c r="M65" s="686"/>
      <c r="N65" s="686"/>
      <c r="O65" s="686"/>
      <c r="P65" s="686"/>
      <c r="Q65" s="686"/>
      <c r="R65" s="686"/>
      <c r="S65" s="686"/>
      <c r="T65" s="686"/>
      <c r="U65" s="686"/>
      <c r="V65" s="686"/>
      <c r="W65" s="686"/>
      <c r="X65" s="686"/>
      <c r="Y65" s="686"/>
      <c r="Z65" s="686"/>
      <c r="AA65" s="686"/>
      <c r="AB65" s="686"/>
      <c r="AC65" s="686"/>
      <c r="AD65" s="686"/>
      <c r="AE65" s="686"/>
      <c r="AF65" s="686"/>
      <c r="AG65" s="686"/>
      <c r="AH65" s="686"/>
      <c r="AI65" s="686"/>
      <c r="AJ65" s="686"/>
      <c r="AK65" s="686"/>
      <c r="AL65" s="686"/>
      <c r="AM65" s="686"/>
      <c r="AN65" s="686"/>
      <c r="AO65" s="686"/>
      <c r="AP65" s="686"/>
      <c r="AQ65" s="686"/>
      <c r="AR65" s="686"/>
      <c r="AS65" s="686"/>
      <c r="AT65" s="686"/>
      <c r="AU65" s="686"/>
      <c r="AV65" s="686"/>
      <c r="AW65" s="686"/>
      <c r="AX65" s="686"/>
      <c r="AY65" s="686"/>
      <c r="AZ65" s="686"/>
      <c r="BA65" s="686"/>
      <c r="BB65" s="686"/>
      <c r="BC65" s="686"/>
      <c r="BD65" s="686"/>
      <c r="BE65" s="686"/>
      <c r="BF65" s="686"/>
      <c r="BG65" s="686"/>
      <c r="BH65" s="686"/>
      <c r="BI65" s="686"/>
      <c r="BJ65" s="686"/>
      <c r="BK65" s="686"/>
      <c r="BL65" s="686"/>
      <c r="BM65" s="686"/>
      <c r="BN65" s="686"/>
      <c r="BO65" s="686"/>
      <c r="BP65" s="686"/>
      <c r="BQ65" s="686"/>
      <c r="BR65" s="686"/>
      <c r="BS65" s="686"/>
      <c r="BT65" s="686"/>
      <c r="BU65" s="686"/>
      <c r="BV65" s="686"/>
      <c r="BW65" s="686"/>
      <c r="BX65" s="686"/>
      <c r="BY65" s="686"/>
      <c r="BZ65" s="686"/>
      <c r="CA65" s="686"/>
      <c r="CB65" s="686"/>
      <c r="CC65" s="686"/>
      <c r="CD65" s="686"/>
      <c r="CE65" s="686"/>
      <c r="CF65" s="686"/>
      <c r="CG65" s="686"/>
      <c r="CH65" s="686"/>
      <c r="CI65" s="686"/>
      <c r="CJ65" s="686"/>
      <c r="CK65" s="686"/>
      <c r="CL65" s="686"/>
      <c r="CM65" s="686"/>
      <c r="CN65" s="686"/>
      <c r="CO65" s="686"/>
      <c r="CP65" s="686"/>
      <c r="CQ65" s="686"/>
      <c r="CR65" s="686"/>
      <c r="CS65" s="686"/>
      <c r="CT65" s="686"/>
      <c r="CU65" s="686"/>
      <c r="CV65" s="686"/>
      <c r="CW65" s="686"/>
      <c r="CX65" s="686"/>
      <c r="CY65" s="686"/>
      <c r="CZ65" s="686"/>
      <c r="DA65" s="686"/>
      <c r="DB65" s="686"/>
      <c r="DC65" s="686"/>
      <c r="DD65" s="686"/>
      <c r="DE65" s="686"/>
      <c r="DF65" s="686"/>
      <c r="DG65" s="686"/>
      <c r="DH65" s="686"/>
      <c r="DI65" s="686"/>
      <c r="DJ65" s="686"/>
      <c r="DK65" s="686"/>
      <c r="DL65" s="686"/>
      <c r="DM65" s="686"/>
      <c r="DN65" s="686"/>
      <c r="DO65" s="686"/>
      <c r="DP65" s="686"/>
      <c r="DQ65" s="686"/>
      <c r="DR65" s="686"/>
      <c r="DS65" s="686"/>
      <c r="DT65" s="686"/>
      <c r="DU65" s="686"/>
      <c r="DV65" s="686"/>
      <c r="DW65" s="686"/>
      <c r="DX65" s="686"/>
      <c r="DY65" s="686"/>
      <c r="DZ65" s="686"/>
      <c r="EA65" s="686"/>
      <c r="EB65" s="686"/>
      <c r="EC65" s="686"/>
      <c r="ED65" s="686"/>
      <c r="EE65" s="686"/>
      <c r="EF65" s="686"/>
      <c r="EG65" s="686"/>
      <c r="EH65" s="686"/>
      <c r="EI65" s="686"/>
      <c r="EJ65" s="686"/>
      <c r="EK65" s="686"/>
      <c r="EL65" s="686"/>
      <c r="EM65" s="686"/>
      <c r="EN65" s="686"/>
      <c r="EO65" s="686"/>
      <c r="EP65" s="686"/>
      <c r="EQ65" s="686"/>
      <c r="ER65" s="686"/>
      <c r="ES65" s="686"/>
      <c r="ET65" s="686"/>
      <c r="EU65" s="686"/>
      <c r="EV65" s="686"/>
      <c r="EW65" s="686"/>
      <c r="EX65" s="686"/>
      <c r="EY65" s="686"/>
      <c r="EZ65" s="686"/>
      <c r="FA65" s="686"/>
      <c r="FB65" s="686"/>
      <c r="FC65" s="686"/>
      <c r="FD65" s="686"/>
      <c r="FE65" s="686"/>
      <c r="FF65" s="686"/>
      <c r="FG65" s="686"/>
      <c r="FH65" s="686"/>
      <c r="FI65" s="686"/>
      <c r="FJ65" s="686"/>
      <c r="FK65" s="686"/>
      <c r="FL65" s="686"/>
      <c r="FM65" s="686"/>
      <c r="FN65" s="686"/>
      <c r="FO65" s="686"/>
      <c r="FP65" s="686"/>
      <c r="FQ65" s="686"/>
      <c r="FR65" s="686"/>
    </row>
    <row r="66" spans="1:174" s="428" customFormat="1" ht="12" customHeight="1" x14ac:dyDescent="0.2">
      <c r="A66" s="428" t="s">
        <v>359</v>
      </c>
    </row>
    <row r="67" spans="1:174" s="428" customFormat="1" ht="12" customHeight="1" x14ac:dyDescent="0.2">
      <c r="A67" s="428" t="s">
        <v>360</v>
      </c>
    </row>
    <row r="68" spans="1:174" s="428" customFormat="1" ht="12" customHeight="1" x14ac:dyDescent="0.2">
      <c r="A68" s="428" t="s">
        <v>361</v>
      </c>
    </row>
    <row r="69" spans="1:174" s="428" customFormat="1" ht="12" customHeight="1" x14ac:dyDescent="0.2">
      <c r="A69" s="687" t="s">
        <v>362</v>
      </c>
      <c r="B69" s="687"/>
      <c r="C69" s="687"/>
      <c r="D69" s="687"/>
      <c r="E69" s="687"/>
      <c r="F69" s="687"/>
      <c r="G69" s="687"/>
      <c r="H69" s="687"/>
      <c r="I69" s="687"/>
      <c r="J69" s="687"/>
      <c r="K69" s="687"/>
      <c r="L69" s="687"/>
      <c r="M69" s="687"/>
      <c r="N69" s="687"/>
      <c r="O69" s="687"/>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7"/>
      <c r="AM69" s="687"/>
      <c r="AN69" s="687"/>
      <c r="AO69" s="687"/>
      <c r="AP69" s="687"/>
      <c r="AQ69" s="687"/>
      <c r="AR69" s="687"/>
      <c r="AS69" s="687"/>
      <c r="AT69" s="687"/>
      <c r="AU69" s="687"/>
      <c r="AV69" s="687"/>
      <c r="AW69" s="687"/>
      <c r="AX69" s="687"/>
      <c r="AY69" s="687"/>
      <c r="AZ69" s="687"/>
      <c r="BA69" s="687"/>
      <c r="BB69" s="687"/>
      <c r="BC69" s="687"/>
      <c r="BD69" s="687"/>
      <c r="BE69" s="687"/>
      <c r="BF69" s="687"/>
      <c r="BG69" s="687"/>
      <c r="BH69" s="687"/>
      <c r="BI69" s="687"/>
      <c r="BJ69" s="687"/>
      <c r="BK69" s="687"/>
      <c r="BL69" s="687"/>
      <c r="BM69" s="687"/>
      <c r="BN69" s="687"/>
      <c r="BO69" s="687"/>
      <c r="BP69" s="687"/>
      <c r="BQ69" s="687"/>
      <c r="BR69" s="687"/>
      <c r="BS69" s="687"/>
      <c r="BT69" s="687"/>
      <c r="BU69" s="687"/>
      <c r="BV69" s="687"/>
      <c r="BW69" s="687"/>
      <c r="BX69" s="687"/>
      <c r="BY69" s="687"/>
      <c r="BZ69" s="687"/>
      <c r="CA69" s="687"/>
      <c r="CB69" s="687"/>
      <c r="CC69" s="687"/>
      <c r="CD69" s="687"/>
      <c r="CE69" s="687"/>
      <c r="CF69" s="687"/>
      <c r="CG69" s="687"/>
      <c r="CH69" s="687"/>
      <c r="CI69" s="687"/>
      <c r="CJ69" s="687"/>
      <c r="CK69" s="687"/>
      <c r="CL69" s="687"/>
      <c r="CM69" s="687"/>
      <c r="CN69" s="687"/>
      <c r="CO69" s="687"/>
      <c r="CP69" s="687"/>
      <c r="CQ69" s="687"/>
      <c r="CR69" s="687"/>
      <c r="CS69" s="687"/>
      <c r="CT69" s="687"/>
      <c r="CU69" s="687"/>
      <c r="CV69" s="687"/>
      <c r="CW69" s="687"/>
      <c r="CX69" s="687"/>
      <c r="CY69" s="687"/>
      <c r="CZ69" s="687"/>
      <c r="DA69" s="687"/>
      <c r="DB69" s="687"/>
      <c r="DC69" s="687"/>
      <c r="DD69" s="687"/>
      <c r="DE69" s="687"/>
      <c r="DF69" s="687"/>
      <c r="DG69" s="687"/>
      <c r="DH69" s="687"/>
      <c r="DI69" s="687"/>
      <c r="DJ69" s="687"/>
      <c r="DK69" s="687"/>
      <c r="DL69" s="687"/>
      <c r="DM69" s="687"/>
      <c r="DN69" s="687"/>
      <c r="DO69" s="687"/>
      <c r="DP69" s="687"/>
      <c r="DQ69" s="687"/>
      <c r="DR69" s="687"/>
      <c r="DS69" s="687"/>
      <c r="DT69" s="687"/>
      <c r="DU69" s="687"/>
      <c r="DV69" s="687"/>
      <c r="DW69" s="687"/>
      <c r="DX69" s="687"/>
      <c r="DY69" s="687"/>
      <c r="DZ69" s="687"/>
      <c r="EA69" s="687"/>
      <c r="EB69" s="687"/>
      <c r="EC69" s="687"/>
      <c r="ED69" s="687"/>
      <c r="EE69" s="687"/>
      <c r="EF69" s="687"/>
      <c r="EG69" s="687"/>
      <c r="EH69" s="687"/>
      <c r="EI69" s="687"/>
      <c r="EJ69" s="687"/>
      <c r="EK69" s="687"/>
      <c r="EL69" s="687"/>
      <c r="EM69" s="687"/>
      <c r="EN69" s="687"/>
      <c r="EO69" s="687"/>
      <c r="EP69" s="687"/>
      <c r="EQ69" s="687"/>
      <c r="ER69" s="687"/>
      <c r="ES69" s="687"/>
      <c r="ET69" s="687"/>
      <c r="EU69" s="687"/>
      <c r="EV69" s="687"/>
      <c r="EW69" s="687"/>
      <c r="EX69" s="687"/>
      <c r="EY69" s="687"/>
      <c r="EZ69" s="687"/>
      <c r="FA69" s="687"/>
      <c r="FB69" s="687"/>
      <c r="FC69" s="687"/>
      <c r="FD69" s="687"/>
      <c r="FE69" s="687"/>
      <c r="FF69" s="687"/>
      <c r="FG69" s="687"/>
      <c r="FH69" s="687"/>
      <c r="FI69" s="687"/>
      <c r="FJ69" s="687"/>
      <c r="FK69" s="687"/>
      <c r="FL69" s="687"/>
      <c r="FM69" s="687"/>
      <c r="FN69" s="687"/>
      <c r="FO69" s="687"/>
      <c r="FP69" s="687"/>
      <c r="FQ69" s="687"/>
      <c r="FR69" s="687"/>
    </row>
  </sheetData>
  <mergeCells count="334">
    <mergeCell ref="A62:FR62"/>
    <mergeCell ref="A63:FR63"/>
    <mergeCell ref="A64:FR64"/>
    <mergeCell ref="A65:FR65"/>
    <mergeCell ref="A69:FR69"/>
    <mergeCell ref="A59:B59"/>
    <mergeCell ref="C59:E59"/>
    <mergeCell ref="F59:G59"/>
    <mergeCell ref="I59:W59"/>
    <mergeCell ref="X59:Z59"/>
    <mergeCell ref="AA59:AC59"/>
    <mergeCell ref="A53:CM53"/>
    <mergeCell ref="A54:CM54"/>
    <mergeCell ref="A56:Y56"/>
    <mergeCell ref="AH56:CM56"/>
    <mergeCell ref="A57:Y57"/>
    <mergeCell ref="AH57:CM57"/>
    <mergeCell ref="I49:J49"/>
    <mergeCell ref="K49:M49"/>
    <mergeCell ref="N49:O49"/>
    <mergeCell ref="Q49:AE49"/>
    <mergeCell ref="AF49:AH49"/>
    <mergeCell ref="AI49:AK49"/>
    <mergeCell ref="AM46:BD46"/>
    <mergeCell ref="BG46:BX46"/>
    <mergeCell ref="CA46:CR46"/>
    <mergeCell ref="AM47:BD47"/>
    <mergeCell ref="BG47:BX47"/>
    <mergeCell ref="CA47:CR47"/>
    <mergeCell ref="AQ43:BH43"/>
    <mergeCell ref="BK43:BV43"/>
    <mergeCell ref="BY43:CR43"/>
    <mergeCell ref="AQ44:BH44"/>
    <mergeCell ref="BK44:BV44"/>
    <mergeCell ref="BY44:CR44"/>
    <mergeCell ref="ES39:FE39"/>
    <mergeCell ref="I40:CM40"/>
    <mergeCell ref="CN40:CU40"/>
    <mergeCell ref="CV40:DE40"/>
    <mergeCell ref="DF40:DR40"/>
    <mergeCell ref="DS40:EE40"/>
    <mergeCell ref="EF40:ER40"/>
    <mergeCell ref="ES40:FE40"/>
    <mergeCell ref="I39:CM39"/>
    <mergeCell ref="CN39:CU39"/>
    <mergeCell ref="CV39:DE39"/>
    <mergeCell ref="DF39:DR39"/>
    <mergeCell ref="DS39:EE39"/>
    <mergeCell ref="EF39:ER39"/>
    <mergeCell ref="FF36:FR36"/>
    <mergeCell ref="A37:H38"/>
    <mergeCell ref="I37:CM37"/>
    <mergeCell ref="CN37:CU38"/>
    <mergeCell ref="CV37:DE38"/>
    <mergeCell ref="DS37:EE38"/>
    <mergeCell ref="EF37:ER38"/>
    <mergeCell ref="ES37:FE38"/>
    <mergeCell ref="FF37:FR38"/>
    <mergeCell ref="I38:CM38"/>
    <mergeCell ref="I34:CM34"/>
    <mergeCell ref="CN34:CU34"/>
    <mergeCell ref="CV34:DE34"/>
    <mergeCell ref="DF34:DR34"/>
    <mergeCell ref="DS34:EE34"/>
    <mergeCell ref="EF34:ER34"/>
    <mergeCell ref="ES34:FE34"/>
    <mergeCell ref="ES35:FE35"/>
    <mergeCell ref="A36:H36"/>
    <mergeCell ref="I36:CM36"/>
    <mergeCell ref="CN36:CU36"/>
    <mergeCell ref="CV36:DE36"/>
    <mergeCell ref="DS36:EE36"/>
    <mergeCell ref="EF36:ER36"/>
    <mergeCell ref="ES36:FE36"/>
    <mergeCell ref="I35:CM35"/>
    <mergeCell ref="CN35:CU35"/>
    <mergeCell ref="CV35:DE35"/>
    <mergeCell ref="DF35:DR35"/>
    <mergeCell ref="DS35:EE35"/>
    <mergeCell ref="EF35:ER35"/>
    <mergeCell ref="A32:H33"/>
    <mergeCell ref="I32:CM32"/>
    <mergeCell ref="CN32:CU33"/>
    <mergeCell ref="CV32:DE33"/>
    <mergeCell ref="DF32:DR33"/>
    <mergeCell ref="DS32:EE33"/>
    <mergeCell ref="EF32:ER33"/>
    <mergeCell ref="ES32:FE33"/>
    <mergeCell ref="FF32:FR33"/>
    <mergeCell ref="I33:CM33"/>
    <mergeCell ref="EF30:ER30"/>
    <mergeCell ref="ES30:FE30"/>
    <mergeCell ref="FF30:FR30"/>
    <mergeCell ref="A31:H31"/>
    <mergeCell ref="I31:CM31"/>
    <mergeCell ref="CN31:CU31"/>
    <mergeCell ref="CV31:DE31"/>
    <mergeCell ref="DF31:DR31"/>
    <mergeCell ref="DS31:EE31"/>
    <mergeCell ref="EF31:ER31"/>
    <mergeCell ref="A30:H30"/>
    <mergeCell ref="I30:CM30"/>
    <mergeCell ref="CN30:CU30"/>
    <mergeCell ref="CV30:DE30"/>
    <mergeCell ref="DF30:DR30"/>
    <mergeCell ref="DS30:EE30"/>
    <mergeCell ref="ES31:FE31"/>
    <mergeCell ref="FF31:FR31"/>
    <mergeCell ref="FF28:FR28"/>
    <mergeCell ref="I29:CM29"/>
    <mergeCell ref="CN29:CU29"/>
    <mergeCell ref="CV29:DE29"/>
    <mergeCell ref="DF29:DR29"/>
    <mergeCell ref="DS29:EE29"/>
    <mergeCell ref="EF29:ER29"/>
    <mergeCell ref="ES29:FE29"/>
    <mergeCell ref="ES27:FE27"/>
    <mergeCell ref="FF27:FR27"/>
    <mergeCell ref="A28:H28"/>
    <mergeCell ref="I28:CM28"/>
    <mergeCell ref="CN28:CU28"/>
    <mergeCell ref="CV28:DE28"/>
    <mergeCell ref="DF28:DR28"/>
    <mergeCell ref="DS28:EE28"/>
    <mergeCell ref="EF28:ER28"/>
    <mergeCell ref="ES28:FE28"/>
    <mergeCell ref="EF26:ER26"/>
    <mergeCell ref="ES26:FE26"/>
    <mergeCell ref="FF26:FR26"/>
    <mergeCell ref="A27:H27"/>
    <mergeCell ref="I27:CM27"/>
    <mergeCell ref="CN27:CU27"/>
    <mergeCell ref="CV27:DE27"/>
    <mergeCell ref="DF27:DR27"/>
    <mergeCell ref="DS27:EE27"/>
    <mergeCell ref="EF27:ER27"/>
    <mergeCell ref="A26:H26"/>
    <mergeCell ref="I26:CM26"/>
    <mergeCell ref="CN26:CU26"/>
    <mergeCell ref="CV26:DE26"/>
    <mergeCell ref="DF26:DR26"/>
    <mergeCell ref="DS26:EE26"/>
    <mergeCell ref="FF24:FR24"/>
    <mergeCell ref="A25:H25"/>
    <mergeCell ref="I25:CM25"/>
    <mergeCell ref="CN25:CU25"/>
    <mergeCell ref="CV25:DE25"/>
    <mergeCell ref="DF25:DR25"/>
    <mergeCell ref="DS25:EE25"/>
    <mergeCell ref="EF25:ER25"/>
    <mergeCell ref="ES25:FE25"/>
    <mergeCell ref="FF25:FR25"/>
    <mergeCell ref="ES23:FE23"/>
    <mergeCell ref="A24:H24"/>
    <mergeCell ref="I24:CM24"/>
    <mergeCell ref="CN24:CU24"/>
    <mergeCell ref="CV24:DE24"/>
    <mergeCell ref="DF24:DR24"/>
    <mergeCell ref="DS24:EE24"/>
    <mergeCell ref="EF24:ER24"/>
    <mergeCell ref="ES24:FE24"/>
    <mergeCell ref="I23:CM23"/>
    <mergeCell ref="CN23:CU23"/>
    <mergeCell ref="CV23:DE23"/>
    <mergeCell ref="DF23:DR23"/>
    <mergeCell ref="DS23:EE23"/>
    <mergeCell ref="EF23:ER23"/>
    <mergeCell ref="FF21:FR21"/>
    <mergeCell ref="A22:H22"/>
    <mergeCell ref="I22:CM22"/>
    <mergeCell ref="CN22:CU22"/>
    <mergeCell ref="CV22:DE22"/>
    <mergeCell ref="DF22:DR22"/>
    <mergeCell ref="DS22:EE22"/>
    <mergeCell ref="EF22:ER22"/>
    <mergeCell ref="ES22:FE22"/>
    <mergeCell ref="FF22:FR22"/>
    <mergeCell ref="EF20:ER20"/>
    <mergeCell ref="ES20:FE20"/>
    <mergeCell ref="A21:H21"/>
    <mergeCell ref="I21:CM21"/>
    <mergeCell ref="CN21:CU21"/>
    <mergeCell ref="CV21:DE21"/>
    <mergeCell ref="DF21:DR21"/>
    <mergeCell ref="DS21:EE21"/>
    <mergeCell ref="EF21:ER21"/>
    <mergeCell ref="ES21:FE21"/>
    <mergeCell ref="A20:H20"/>
    <mergeCell ref="I20:CM20"/>
    <mergeCell ref="CN20:CU20"/>
    <mergeCell ref="CV20:DE20"/>
    <mergeCell ref="DF20:DR20"/>
    <mergeCell ref="DS20:EE20"/>
    <mergeCell ref="A19:H19"/>
    <mergeCell ref="I19:CM19"/>
    <mergeCell ref="CN19:CU19"/>
    <mergeCell ref="CV19:DE19"/>
    <mergeCell ref="DF19:DR19"/>
    <mergeCell ref="DS19:EE19"/>
    <mergeCell ref="EF19:ER19"/>
    <mergeCell ref="ES19:FE19"/>
    <mergeCell ref="FF19:FR19"/>
    <mergeCell ref="A18:H18"/>
    <mergeCell ref="I18:CM18"/>
    <mergeCell ref="CN18:CU18"/>
    <mergeCell ref="CV18:DE18"/>
    <mergeCell ref="DF18:DR18"/>
    <mergeCell ref="DS18:EE18"/>
    <mergeCell ref="EF18:ER18"/>
    <mergeCell ref="ES18:FE18"/>
    <mergeCell ref="FF18:FR18"/>
    <mergeCell ref="EF16:ER16"/>
    <mergeCell ref="ES16:FE16"/>
    <mergeCell ref="FF16:FR16"/>
    <mergeCell ref="A17:H17"/>
    <mergeCell ref="I17:CM17"/>
    <mergeCell ref="CN17:CU17"/>
    <mergeCell ref="CV17:DE17"/>
    <mergeCell ref="DF17:DR17"/>
    <mergeCell ref="DS17:EE17"/>
    <mergeCell ref="EF17:ER17"/>
    <mergeCell ref="A16:H16"/>
    <mergeCell ref="I16:CM16"/>
    <mergeCell ref="CN16:CU16"/>
    <mergeCell ref="CV16:DE16"/>
    <mergeCell ref="DF16:DR16"/>
    <mergeCell ref="DS16:EE16"/>
    <mergeCell ref="ES17:FE17"/>
    <mergeCell ref="FF17:FR17"/>
    <mergeCell ref="FF14:FR14"/>
    <mergeCell ref="A15:H15"/>
    <mergeCell ref="I15:CM15"/>
    <mergeCell ref="CN15:CU15"/>
    <mergeCell ref="CV15:DE15"/>
    <mergeCell ref="DF15:DR15"/>
    <mergeCell ref="DS15:EE15"/>
    <mergeCell ref="EF15:ER15"/>
    <mergeCell ref="ES15:FE15"/>
    <mergeCell ref="FF15:FR15"/>
    <mergeCell ref="ES13:FE13"/>
    <mergeCell ref="A14:H14"/>
    <mergeCell ref="I14:CM14"/>
    <mergeCell ref="CN14:CU14"/>
    <mergeCell ref="CV14:DE14"/>
    <mergeCell ref="DF14:DR14"/>
    <mergeCell ref="DS14:EE14"/>
    <mergeCell ref="EF14:ER14"/>
    <mergeCell ref="ES14:FE14"/>
    <mergeCell ref="A13:H13"/>
    <mergeCell ref="CN13:CU13"/>
    <mergeCell ref="CV13:DE13"/>
    <mergeCell ref="DF13:DR13"/>
    <mergeCell ref="DS13:EE13"/>
    <mergeCell ref="EF13:ER13"/>
    <mergeCell ref="EF11:ER11"/>
    <mergeCell ref="ES11:FE11"/>
    <mergeCell ref="I12:CM12"/>
    <mergeCell ref="CN12:CU12"/>
    <mergeCell ref="DF12:DR12"/>
    <mergeCell ref="DS12:EE12"/>
    <mergeCell ref="EF12:ER12"/>
    <mergeCell ref="ES12:FE12"/>
    <mergeCell ref="A11:H11"/>
    <mergeCell ref="I11:CM11"/>
    <mergeCell ref="CN11:CU11"/>
    <mergeCell ref="CV11:DE11"/>
    <mergeCell ref="DF11:DR11"/>
    <mergeCell ref="DS11:EE11"/>
    <mergeCell ref="A10:H10"/>
    <mergeCell ref="I10:CM10"/>
    <mergeCell ref="CN10:CU10"/>
    <mergeCell ref="CV10:DE10"/>
    <mergeCell ref="DF10:DR10"/>
    <mergeCell ref="DS10:EE10"/>
    <mergeCell ref="EF10:ER10"/>
    <mergeCell ref="ES10:FE10"/>
    <mergeCell ref="FF10:FR10"/>
    <mergeCell ref="A9:H9"/>
    <mergeCell ref="I9:CM9"/>
    <mergeCell ref="CN9:CU9"/>
    <mergeCell ref="CV9:DE9"/>
    <mergeCell ref="DF9:DR9"/>
    <mergeCell ref="DS9:EE9"/>
    <mergeCell ref="EF9:ER9"/>
    <mergeCell ref="ES9:FE9"/>
    <mergeCell ref="FF9:FR9"/>
    <mergeCell ref="I6:CM6"/>
    <mergeCell ref="CN6:CU6"/>
    <mergeCell ref="CV6:DE6"/>
    <mergeCell ref="DF6:DR6"/>
    <mergeCell ref="DS6:EE6"/>
    <mergeCell ref="FS7:GB7"/>
    <mergeCell ref="A8:H8"/>
    <mergeCell ref="I8:CM8"/>
    <mergeCell ref="CN8:CU8"/>
    <mergeCell ref="CV8:DE8"/>
    <mergeCell ref="DF8:DR8"/>
    <mergeCell ref="DS8:EE8"/>
    <mergeCell ref="EF8:ER8"/>
    <mergeCell ref="ES8:FE8"/>
    <mergeCell ref="FF8:FR8"/>
    <mergeCell ref="A7:H7"/>
    <mergeCell ref="I7:CM7"/>
    <mergeCell ref="CN7:CU7"/>
    <mergeCell ref="CV7:DE7"/>
    <mergeCell ref="DF7:DR7"/>
    <mergeCell ref="DS7:EE7"/>
    <mergeCell ref="EF7:ER7"/>
    <mergeCell ref="ES7:FE7"/>
    <mergeCell ref="FF7:FR7"/>
    <mergeCell ref="EF4:EK4"/>
    <mergeCell ref="EL4:EN4"/>
    <mergeCell ref="EO4:ER4"/>
    <mergeCell ref="EF6:ER6"/>
    <mergeCell ref="B1:FQ1"/>
    <mergeCell ref="A3:H5"/>
    <mergeCell ref="I3:CM5"/>
    <mergeCell ref="CN3:CU5"/>
    <mergeCell ref="CV3:DE5"/>
    <mergeCell ref="DF3:DR5"/>
    <mergeCell ref="DS3:FR3"/>
    <mergeCell ref="DS4:DX4"/>
    <mergeCell ref="DY4:EA4"/>
    <mergeCell ref="EB4:EE4"/>
    <mergeCell ref="FF4:FR5"/>
    <mergeCell ref="DS5:EE5"/>
    <mergeCell ref="EF5:ER5"/>
    <mergeCell ref="ES5:FE5"/>
    <mergeCell ref="ES4:EX4"/>
    <mergeCell ref="EY4:FA4"/>
    <mergeCell ref="FB4:FE4"/>
    <mergeCell ref="ES6:FE6"/>
    <mergeCell ref="FF6:FR6"/>
    <mergeCell ref="A6:H6"/>
  </mergeCells>
  <pageMargins left="0.19685039370078741" right="0.11811023622047245" top="0.39370078740157483" bottom="0.11811023622047245" header="0.19685039370078741" footer="0.19685039370078741"/>
  <pageSetup paperSize="9" scale="60" orientation="portrait" r:id="rId1"/>
  <headerFooter alignWithMargins="0">
    <oddHeader>&amp;R&amp;"Times New Roman,обычный"&amp;7Подготовлено с использованием системы &amp;"Times New Roman,полужирный"КонсультантПлюс</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09"/>
  <sheetViews>
    <sheetView view="pageBreakPreview" zoomScale="60" workbookViewId="0">
      <selection activeCell="R24" sqref="R24"/>
    </sheetView>
  </sheetViews>
  <sheetFormatPr defaultColWidth="9.33203125" defaultRowHeight="15.6" x14ac:dyDescent="0.25"/>
  <cols>
    <col min="1" max="1" width="77.33203125" style="296" customWidth="1"/>
    <col min="2" max="2" width="9.33203125" style="358" customWidth="1"/>
    <col min="3" max="3" width="16.33203125" style="296" customWidth="1"/>
    <col min="4" max="4" width="16.33203125" style="296" hidden="1" customWidth="1"/>
    <col min="5" max="5" width="23.109375" style="296" customWidth="1"/>
    <col min="6" max="6" width="23.6640625" style="296" customWidth="1"/>
    <col min="7" max="7" width="24.77734375" style="296" customWidth="1"/>
    <col min="8" max="8" width="19.33203125" style="296" hidden="1" customWidth="1"/>
    <col min="9" max="9" width="30.109375" style="296" customWidth="1"/>
    <col min="10" max="10" width="24.33203125" style="296" customWidth="1"/>
    <col min="11" max="11" width="26.77734375" style="296" customWidth="1"/>
    <col min="12" max="13" width="23.109375" style="296" customWidth="1"/>
    <col min="14" max="14" width="19.33203125" style="296" bestFit="1" customWidth="1"/>
    <col min="15" max="16384" width="9.33203125" style="296"/>
  </cols>
  <sheetData>
    <row r="1" spans="1:14" x14ac:dyDescent="0.25">
      <c r="E1" s="350">
        <v>0</v>
      </c>
      <c r="F1" s="350">
        <v>0</v>
      </c>
      <c r="G1" s="350">
        <v>0</v>
      </c>
      <c r="H1" s="350">
        <v>0</v>
      </c>
      <c r="I1" s="350">
        <v>0</v>
      </c>
      <c r="J1" s="350">
        <v>0</v>
      </c>
      <c r="K1" s="350">
        <v>0</v>
      </c>
      <c r="L1" s="350">
        <v>0</v>
      </c>
      <c r="M1" s="350">
        <v>0</v>
      </c>
    </row>
    <row r="2" spans="1:14" x14ac:dyDescent="0.25">
      <c r="E2" s="350"/>
      <c r="F2" s="350"/>
      <c r="G2" s="350"/>
      <c r="H2" s="350"/>
      <c r="I2" s="350"/>
      <c r="J2" s="350"/>
      <c r="K2" s="350"/>
      <c r="L2" s="350"/>
      <c r="M2" s="350"/>
    </row>
    <row r="3" spans="1:14" x14ac:dyDescent="0.25">
      <c r="A3" s="296" t="s">
        <v>206</v>
      </c>
      <c r="E3" s="350"/>
      <c r="F3" s="350"/>
      <c r="G3" s="350"/>
      <c r="H3" s="350"/>
      <c r="I3" s="350"/>
      <c r="J3" s="350"/>
      <c r="K3" s="350"/>
      <c r="L3" s="350"/>
      <c r="M3" s="350"/>
    </row>
    <row r="4" spans="1:14" x14ac:dyDescent="0.25">
      <c r="A4" s="296" t="s">
        <v>368</v>
      </c>
      <c r="E4" s="350"/>
      <c r="F4" s="350"/>
      <c r="G4" s="350"/>
      <c r="H4" s="350"/>
      <c r="I4" s="350"/>
      <c r="J4" s="350"/>
      <c r="K4" s="350"/>
      <c r="L4" s="350"/>
      <c r="M4" s="350"/>
    </row>
    <row r="5" spans="1:14" x14ac:dyDescent="0.25">
      <c r="E5" s="350"/>
      <c r="F5" s="350"/>
      <c r="G5" s="350"/>
      <c r="H5" s="350"/>
      <c r="I5" s="350"/>
      <c r="J5" s="350"/>
      <c r="K5" s="350"/>
      <c r="L5" s="350"/>
      <c r="M5" s="350"/>
    </row>
    <row r="6" spans="1:14" x14ac:dyDescent="0.25">
      <c r="E6" s="350"/>
      <c r="F6" s="350"/>
      <c r="G6" s="350"/>
      <c r="H6" s="350"/>
      <c r="I6" s="350"/>
      <c r="J6" s="350"/>
      <c r="K6" s="350"/>
      <c r="L6" s="350"/>
      <c r="M6" s="350"/>
    </row>
    <row r="7" spans="1:14" x14ac:dyDescent="0.25">
      <c r="A7" s="375" t="s">
        <v>414</v>
      </c>
      <c r="E7" s="350"/>
      <c r="F7" s="350"/>
      <c r="G7" s="350"/>
      <c r="H7" s="350"/>
      <c r="I7" s="350"/>
      <c r="J7" s="350"/>
      <c r="K7" s="350"/>
      <c r="L7" s="350"/>
      <c r="M7" s="350"/>
    </row>
    <row r="8" spans="1:14" s="359" customFormat="1" x14ac:dyDescent="0.25">
      <c r="A8" s="296" t="s">
        <v>210</v>
      </c>
      <c r="B8" s="360"/>
      <c r="E8" s="350" t="e">
        <v>#REF!</v>
      </c>
      <c r="F8" s="350">
        <v>113679900</v>
      </c>
      <c r="G8" s="350">
        <v>2145000</v>
      </c>
      <c r="H8" s="350">
        <v>0</v>
      </c>
      <c r="I8" s="350">
        <v>0</v>
      </c>
      <c r="J8" s="352"/>
      <c r="K8" s="350">
        <v>0</v>
      </c>
      <c r="L8" s="353">
        <v>5168500</v>
      </c>
      <c r="M8" s="361"/>
    </row>
    <row r="9" spans="1:14" x14ac:dyDescent="0.25">
      <c r="E9" s="352"/>
      <c r="F9" s="352"/>
      <c r="G9" s="352"/>
      <c r="H9" s="352"/>
      <c r="I9" s="352"/>
      <c r="J9" s="352"/>
      <c r="K9" s="352"/>
      <c r="L9" s="352"/>
      <c r="M9" s="298"/>
    </row>
    <row r="10" spans="1:14" ht="31.5" customHeight="1" x14ac:dyDescent="0.25">
      <c r="A10" s="507" t="s">
        <v>213</v>
      </c>
      <c r="B10" s="507"/>
      <c r="C10" s="507"/>
      <c r="D10" s="507"/>
      <c r="E10" s="507"/>
      <c r="F10" s="507"/>
      <c r="G10" s="507"/>
      <c r="H10" s="507"/>
      <c r="I10" s="507"/>
      <c r="J10" s="507"/>
      <c r="K10" s="507"/>
      <c r="L10" s="507"/>
      <c r="M10" s="507"/>
    </row>
    <row r="11" spans="1:14" ht="17.25" customHeight="1" x14ac:dyDescent="0.25">
      <c r="A11" s="514" t="s">
        <v>177</v>
      </c>
      <c r="B11" s="517" t="s">
        <v>178</v>
      </c>
      <c r="C11" s="517" t="s">
        <v>214</v>
      </c>
      <c r="D11" s="517" t="s">
        <v>401</v>
      </c>
      <c r="E11" s="520" t="s">
        <v>215</v>
      </c>
      <c r="F11" s="520"/>
      <c r="G11" s="520"/>
      <c r="H11" s="520"/>
      <c r="I11" s="520"/>
      <c r="J11" s="520"/>
      <c r="K11" s="520"/>
      <c r="L11" s="520"/>
      <c r="M11" s="520"/>
    </row>
    <row r="12" spans="1:14" ht="30" customHeight="1" x14ac:dyDescent="0.25">
      <c r="A12" s="515"/>
      <c r="B12" s="518"/>
      <c r="C12" s="518"/>
      <c r="D12" s="518"/>
      <c r="E12" s="510"/>
      <c r="F12" s="511"/>
      <c r="G12" s="511"/>
      <c r="H12" s="511"/>
      <c r="I12" s="511"/>
      <c r="J12" s="511"/>
      <c r="K12" s="511"/>
      <c r="L12" s="511"/>
      <c r="M12" s="512"/>
    </row>
    <row r="13" spans="1:14" ht="24.75" customHeight="1" x14ac:dyDescent="0.25">
      <c r="A13" s="515"/>
      <c r="B13" s="518"/>
      <c r="C13" s="518"/>
      <c r="D13" s="518"/>
      <c r="E13" s="510" t="s">
        <v>294</v>
      </c>
      <c r="F13" s="511"/>
      <c r="G13" s="511"/>
      <c r="H13" s="511"/>
      <c r="I13" s="511"/>
      <c r="J13" s="511"/>
      <c r="K13" s="511"/>
      <c r="L13" s="511"/>
      <c r="M13" s="512"/>
    </row>
    <row r="14" spans="1:14" ht="179.25" customHeight="1" x14ac:dyDescent="0.25">
      <c r="A14" s="516"/>
      <c r="B14" s="519"/>
      <c r="C14" s="519"/>
      <c r="D14" s="519"/>
      <c r="E14" s="356" t="s">
        <v>176</v>
      </c>
      <c r="F14" s="356" t="s">
        <v>219</v>
      </c>
      <c r="G14" s="356" t="s">
        <v>438</v>
      </c>
      <c r="H14" s="356" t="s">
        <v>196</v>
      </c>
      <c r="I14" s="356" t="s">
        <v>197</v>
      </c>
      <c r="J14" s="356" t="s">
        <v>198</v>
      </c>
      <c r="K14" s="356" t="s">
        <v>200</v>
      </c>
      <c r="L14" s="356" t="s">
        <v>201</v>
      </c>
      <c r="M14" s="301" t="s">
        <v>202</v>
      </c>
    </row>
    <row r="15" spans="1:14" ht="17.25" customHeight="1" x14ac:dyDescent="0.25">
      <c r="A15" s="302">
        <v>1</v>
      </c>
      <c r="B15" s="356">
        <v>2</v>
      </c>
      <c r="C15" s="377">
        <v>3</v>
      </c>
      <c r="D15" s="377">
        <v>4</v>
      </c>
      <c r="E15" s="356">
        <v>4</v>
      </c>
      <c r="F15" s="356">
        <v>5</v>
      </c>
      <c r="G15" s="356">
        <v>6</v>
      </c>
      <c r="H15" s="356">
        <v>8</v>
      </c>
      <c r="I15" s="356">
        <v>7</v>
      </c>
      <c r="J15" s="356">
        <v>8</v>
      </c>
      <c r="K15" s="356">
        <v>9</v>
      </c>
      <c r="L15" s="356">
        <v>10</v>
      </c>
      <c r="M15" s="356">
        <v>11</v>
      </c>
    </row>
    <row r="16" spans="1:14" ht="22.5" customHeight="1" x14ac:dyDescent="0.35">
      <c r="A16" s="303" t="s">
        <v>221</v>
      </c>
      <c r="B16" s="356" t="s">
        <v>222</v>
      </c>
      <c r="C16" s="377" t="s">
        <v>190</v>
      </c>
      <c r="D16" s="377"/>
      <c r="E16" s="304"/>
      <c r="F16" s="305"/>
      <c r="G16" s="305"/>
      <c r="H16" s="305"/>
      <c r="I16" s="305"/>
      <c r="J16" s="305"/>
      <c r="K16" s="306"/>
      <c r="L16" s="305"/>
      <c r="M16" s="305"/>
      <c r="N16" s="307"/>
    </row>
    <row r="17" spans="1:27" ht="31.5" customHeight="1" x14ac:dyDescent="0.25">
      <c r="A17" s="303" t="s">
        <v>223</v>
      </c>
      <c r="B17" s="356" t="s">
        <v>224</v>
      </c>
      <c r="C17" s="377" t="s">
        <v>190</v>
      </c>
      <c r="D17" s="377"/>
      <c r="E17" s="304"/>
      <c r="F17" s="306"/>
      <c r="G17" s="306"/>
      <c r="H17" s="306"/>
      <c r="I17" s="306"/>
      <c r="J17" s="306"/>
      <c r="L17" s="306"/>
      <c r="M17" s="306"/>
    </row>
    <row r="18" spans="1:27" s="312" customFormat="1" ht="27" customHeight="1" x14ac:dyDescent="0.25">
      <c r="A18" s="308" t="s">
        <v>225</v>
      </c>
      <c r="B18" s="309" t="s">
        <v>226</v>
      </c>
      <c r="C18" s="309"/>
      <c r="D18" s="309"/>
      <c r="E18" s="310">
        <v>0</v>
      </c>
      <c r="F18" s="311">
        <v>0</v>
      </c>
      <c r="G18" s="311">
        <v>0</v>
      </c>
      <c r="H18" s="311">
        <v>0</v>
      </c>
      <c r="I18" s="311">
        <v>0</v>
      </c>
      <c r="J18" s="311">
        <v>0</v>
      </c>
      <c r="K18" s="311">
        <v>0</v>
      </c>
      <c r="L18" s="311">
        <v>0</v>
      </c>
      <c r="M18" s="311">
        <v>0</v>
      </c>
    </row>
    <row r="19" spans="1:27" s="317" customFormat="1" ht="31.2" x14ac:dyDescent="0.25">
      <c r="A19" s="313" t="s">
        <v>227</v>
      </c>
      <c r="B19" s="314" t="s">
        <v>228</v>
      </c>
      <c r="C19" s="314">
        <v>120</v>
      </c>
      <c r="D19" s="314"/>
      <c r="E19" s="315">
        <v>0</v>
      </c>
      <c r="F19" s="315">
        <v>0</v>
      </c>
      <c r="G19" s="315">
        <v>0</v>
      </c>
      <c r="H19" s="315">
        <v>0</v>
      </c>
      <c r="I19" s="315">
        <v>0</v>
      </c>
      <c r="J19" s="315">
        <v>0</v>
      </c>
      <c r="K19" s="315">
        <v>0</v>
      </c>
      <c r="L19" s="315">
        <v>0</v>
      </c>
      <c r="M19" s="315">
        <v>0</v>
      </c>
      <c r="N19" s="316"/>
      <c r="O19" s="316"/>
      <c r="P19" s="316"/>
      <c r="Q19" s="316"/>
      <c r="R19" s="316"/>
      <c r="S19" s="316"/>
    </row>
    <row r="20" spans="1:27" s="320" customFormat="1" ht="22.5" customHeight="1" x14ac:dyDescent="0.25">
      <c r="A20" s="303" t="s">
        <v>182</v>
      </c>
      <c r="B20" s="302"/>
      <c r="C20" s="302"/>
      <c r="D20" s="302"/>
      <c r="E20" s="305"/>
      <c r="F20" s="306"/>
      <c r="G20" s="306"/>
      <c r="H20" s="306"/>
      <c r="I20" s="306"/>
      <c r="J20" s="306"/>
      <c r="K20" s="306"/>
      <c r="L20" s="306"/>
      <c r="M20" s="306"/>
      <c r="N20" s="318"/>
      <c r="O20" s="318"/>
      <c r="P20" s="318"/>
      <c r="Q20" s="318"/>
      <c r="R20" s="319"/>
      <c r="S20" s="319"/>
    </row>
    <row r="21" spans="1:27" s="320" customFormat="1" ht="31.2" x14ac:dyDescent="0.25">
      <c r="A21" s="303" t="s">
        <v>417</v>
      </c>
      <c r="B21" s="302" t="s">
        <v>229</v>
      </c>
      <c r="C21" s="321" t="s">
        <v>402</v>
      </c>
      <c r="D21" s="321" t="s">
        <v>230</v>
      </c>
      <c r="E21" s="305">
        <v>0</v>
      </c>
      <c r="F21" s="306"/>
      <c r="G21" s="305"/>
      <c r="H21" s="305"/>
      <c r="I21" s="305"/>
      <c r="J21" s="305"/>
      <c r="K21" s="305"/>
      <c r="L21" s="305">
        <v>0</v>
      </c>
      <c r="M21" s="305"/>
      <c r="N21" s="319"/>
      <c r="O21" s="318"/>
      <c r="P21" s="319"/>
      <c r="Q21" s="318"/>
      <c r="R21" s="319"/>
      <c r="S21" s="319"/>
    </row>
    <row r="22" spans="1:27" s="320" customFormat="1" ht="31.2" x14ac:dyDescent="0.25">
      <c r="A22" s="303" t="s">
        <v>188</v>
      </c>
      <c r="B22" s="302">
        <v>1120</v>
      </c>
      <c r="C22" s="321" t="s">
        <v>402</v>
      </c>
      <c r="D22" s="321"/>
      <c r="E22" s="305"/>
      <c r="F22" s="306"/>
      <c r="G22" s="306"/>
      <c r="H22" s="305"/>
      <c r="I22" s="305"/>
      <c r="J22" s="305"/>
      <c r="K22" s="305"/>
      <c r="L22" s="305"/>
      <c r="M22" s="305"/>
      <c r="N22" s="318"/>
      <c r="O22" s="319"/>
      <c r="P22" s="318"/>
      <c r="Q22" s="319"/>
      <c r="R22" s="318"/>
      <c r="S22" s="319"/>
      <c r="T22" s="319"/>
    </row>
    <row r="23" spans="1:27" s="320" customFormat="1" ht="31.2" x14ac:dyDescent="0.25">
      <c r="A23" s="303" t="s">
        <v>189</v>
      </c>
      <c r="B23" s="302">
        <v>1130</v>
      </c>
      <c r="C23" s="321" t="s">
        <v>402</v>
      </c>
      <c r="D23" s="321"/>
      <c r="E23" s="305"/>
      <c r="F23" s="306"/>
      <c r="G23" s="306"/>
      <c r="H23" s="305"/>
      <c r="I23" s="305"/>
      <c r="J23" s="305"/>
      <c r="K23" s="305"/>
      <c r="L23" s="305"/>
      <c r="M23" s="305"/>
      <c r="N23" s="319"/>
      <c r="O23" s="319"/>
      <c r="P23" s="318"/>
      <c r="Q23" s="319"/>
      <c r="R23" s="318"/>
      <c r="S23" s="319"/>
      <c r="T23" s="319"/>
    </row>
    <row r="24" spans="1:27" s="327" customFormat="1" ht="16.2" x14ac:dyDescent="0.25">
      <c r="A24" s="313" t="s">
        <v>231</v>
      </c>
      <c r="B24" s="322">
        <v>1200</v>
      </c>
      <c r="C24" s="323" t="s">
        <v>232</v>
      </c>
      <c r="D24" s="323"/>
      <c r="E24" s="324">
        <v>0</v>
      </c>
      <c r="F24" s="315">
        <v>0</v>
      </c>
      <c r="G24" s="315">
        <v>0</v>
      </c>
      <c r="H24" s="315">
        <v>0</v>
      </c>
      <c r="I24" s="315">
        <v>0</v>
      </c>
      <c r="J24" s="315">
        <v>0</v>
      </c>
      <c r="K24" s="315">
        <v>0</v>
      </c>
      <c r="L24" s="315">
        <v>0</v>
      </c>
      <c r="M24" s="315">
        <v>0</v>
      </c>
      <c r="N24" s="318"/>
      <c r="O24" s="325"/>
      <c r="P24" s="316"/>
      <c r="Q24" s="325"/>
      <c r="R24" s="316"/>
      <c r="S24" s="326"/>
    </row>
    <row r="25" spans="1:27" s="330" customFormat="1" ht="15.75" customHeight="1" x14ac:dyDescent="0.25">
      <c r="A25" s="303" t="s">
        <v>182</v>
      </c>
      <c r="B25" s="302"/>
      <c r="C25" s="328"/>
      <c r="D25" s="328"/>
      <c r="E25" s="305"/>
      <c r="F25" s="306"/>
      <c r="G25" s="306"/>
      <c r="H25" s="306"/>
      <c r="I25" s="306"/>
      <c r="J25" s="306"/>
      <c r="K25" s="306"/>
      <c r="L25" s="306"/>
      <c r="M25" s="306"/>
      <c r="N25" s="319"/>
      <c r="O25" s="318"/>
      <c r="P25" s="319"/>
      <c r="Q25" s="318"/>
      <c r="R25" s="319"/>
      <c r="S25" s="329"/>
    </row>
    <row r="26" spans="1:27" s="330" customFormat="1" ht="16.2" x14ac:dyDescent="0.25">
      <c r="A26" s="303" t="s">
        <v>418</v>
      </c>
      <c r="B26" s="302">
        <v>1210</v>
      </c>
      <c r="C26" s="321" t="s">
        <v>232</v>
      </c>
      <c r="D26" s="321" t="s">
        <v>232</v>
      </c>
      <c r="E26" s="305">
        <v>0</v>
      </c>
      <c r="F26" s="306">
        <v>0</v>
      </c>
      <c r="G26" s="306"/>
      <c r="H26" s="306"/>
      <c r="I26" s="306"/>
      <c r="J26" s="306"/>
      <c r="K26" s="306"/>
      <c r="M26" s="306"/>
      <c r="N26" s="319"/>
      <c r="O26" s="318"/>
      <c r="P26" s="319"/>
      <c r="Q26" s="318"/>
      <c r="R26" s="319"/>
      <c r="S26" s="329"/>
    </row>
    <row r="27" spans="1:27" ht="31.2" x14ac:dyDescent="0.25">
      <c r="A27" s="303" t="s">
        <v>419</v>
      </c>
      <c r="B27" s="302">
        <v>1220</v>
      </c>
      <c r="C27" s="321" t="s">
        <v>232</v>
      </c>
      <c r="D27" s="321" t="s">
        <v>233</v>
      </c>
      <c r="E27" s="331">
        <v>0</v>
      </c>
      <c r="F27" s="331"/>
      <c r="G27" s="331"/>
      <c r="H27" s="331"/>
      <c r="I27" s="331"/>
      <c r="J27" s="331"/>
      <c r="K27" s="331"/>
      <c r="L27" s="306">
        <v>0</v>
      </c>
      <c r="M27" s="331"/>
      <c r="N27" s="527"/>
      <c r="O27" s="528"/>
      <c r="P27" s="528"/>
      <c r="Q27" s="528"/>
      <c r="R27" s="528"/>
      <c r="S27" s="528"/>
      <c r="T27" s="528"/>
      <c r="U27" s="528"/>
      <c r="V27" s="528"/>
    </row>
    <row r="28" spans="1:27" ht="46.8" x14ac:dyDescent="0.25">
      <c r="A28" s="303" t="s">
        <v>420</v>
      </c>
      <c r="B28" s="302">
        <v>1230</v>
      </c>
      <c r="C28" s="302" t="s">
        <v>232</v>
      </c>
      <c r="D28" s="302">
        <v>135</v>
      </c>
      <c r="E28" s="331"/>
      <c r="F28" s="331"/>
      <c r="G28" s="331"/>
      <c r="H28" s="331"/>
      <c r="I28" s="331"/>
      <c r="J28" s="331"/>
      <c r="K28" s="331"/>
      <c r="L28" s="331">
        <v>0</v>
      </c>
      <c r="M28" s="331"/>
      <c r="N28" s="332"/>
      <c r="O28" s="333"/>
      <c r="P28" s="333"/>
      <c r="Q28" s="333"/>
      <c r="R28" s="333"/>
      <c r="S28" s="333"/>
      <c r="T28" s="333"/>
      <c r="U28" s="333"/>
      <c r="V28" s="333"/>
      <c r="W28" s="333"/>
      <c r="X28" s="333"/>
      <c r="Y28" s="333"/>
      <c r="Z28" s="333"/>
      <c r="AA28" s="333"/>
    </row>
    <row r="29" spans="1:27" ht="46.8" x14ac:dyDescent="0.25">
      <c r="A29" s="303" t="s">
        <v>191</v>
      </c>
      <c r="B29" s="302">
        <v>1240</v>
      </c>
      <c r="C29" s="302" t="s">
        <v>232</v>
      </c>
      <c r="D29" s="302">
        <v>136</v>
      </c>
      <c r="E29" s="331">
        <v>0</v>
      </c>
      <c r="F29" s="331"/>
      <c r="G29" s="331"/>
      <c r="H29" s="331"/>
      <c r="I29" s="331"/>
      <c r="J29" s="331"/>
      <c r="K29" s="331"/>
      <c r="L29" s="331"/>
      <c r="M29" s="331"/>
      <c r="N29" s="298"/>
      <c r="O29" s="334"/>
      <c r="P29" s="298"/>
      <c r="Q29" s="334"/>
      <c r="R29" s="298"/>
      <c r="S29" s="298"/>
    </row>
    <row r="30" spans="1:27" s="317" customFormat="1" x14ac:dyDescent="0.25">
      <c r="A30" s="313" t="s">
        <v>234</v>
      </c>
      <c r="B30" s="322">
        <v>1300</v>
      </c>
      <c r="C30" s="322">
        <v>140</v>
      </c>
      <c r="D30" s="322"/>
      <c r="E30" s="335">
        <v>0</v>
      </c>
      <c r="F30" s="335">
        <v>0</v>
      </c>
      <c r="G30" s="335">
        <v>0</v>
      </c>
      <c r="H30" s="335">
        <v>0</v>
      </c>
      <c r="I30" s="335">
        <v>0</v>
      </c>
      <c r="J30" s="335">
        <v>0</v>
      </c>
      <c r="K30" s="335">
        <v>0</v>
      </c>
      <c r="L30" s="335">
        <v>0</v>
      </c>
      <c r="M30" s="335">
        <v>0</v>
      </c>
      <c r="N30" s="336"/>
      <c r="O30" s="325"/>
      <c r="P30" s="316"/>
      <c r="Q30" s="325"/>
      <c r="R30" s="316"/>
      <c r="S30" s="316"/>
    </row>
    <row r="31" spans="1:27" x14ac:dyDescent="0.25">
      <c r="A31" s="337" t="s">
        <v>182</v>
      </c>
      <c r="B31" s="302"/>
      <c r="C31" s="302"/>
      <c r="D31" s="302"/>
      <c r="E31" s="331"/>
      <c r="F31" s="331"/>
      <c r="G31" s="331"/>
      <c r="H31" s="331"/>
      <c r="I31" s="331"/>
      <c r="J31" s="331"/>
      <c r="K31" s="331"/>
      <c r="L31" s="331"/>
      <c r="M31" s="331"/>
      <c r="N31" s="298"/>
      <c r="O31" s="334"/>
      <c r="P31" s="298"/>
      <c r="Q31" s="334"/>
      <c r="R31" s="298"/>
      <c r="S31" s="298"/>
    </row>
    <row r="32" spans="1:27" x14ac:dyDescent="0.25">
      <c r="A32" s="337"/>
      <c r="B32" s="302">
        <v>1310</v>
      </c>
      <c r="C32" s="302">
        <v>140</v>
      </c>
      <c r="D32" s="302"/>
      <c r="E32" s="331">
        <v>0</v>
      </c>
      <c r="F32" s="331"/>
      <c r="G32" s="331"/>
      <c r="H32" s="331"/>
      <c r="I32" s="331"/>
      <c r="J32" s="331"/>
      <c r="K32" s="331"/>
      <c r="L32" s="331"/>
      <c r="M32" s="331"/>
      <c r="N32" s="298"/>
      <c r="O32" s="334"/>
      <c r="P32" s="298"/>
      <c r="Q32" s="334"/>
      <c r="R32" s="298"/>
      <c r="S32" s="298"/>
    </row>
    <row r="33" spans="1:20" s="317" customFormat="1" x14ac:dyDescent="0.25">
      <c r="A33" s="313" t="s">
        <v>235</v>
      </c>
      <c r="B33" s="322">
        <v>1400</v>
      </c>
      <c r="C33" s="322">
        <v>150</v>
      </c>
      <c r="D33" s="322"/>
      <c r="E33" s="335">
        <v>0</v>
      </c>
      <c r="F33" s="335">
        <v>0</v>
      </c>
      <c r="G33" s="335">
        <v>0</v>
      </c>
      <c r="H33" s="335">
        <v>0</v>
      </c>
      <c r="I33" s="335">
        <v>0</v>
      </c>
      <c r="J33" s="335">
        <v>0</v>
      </c>
      <c r="K33" s="335">
        <v>0</v>
      </c>
      <c r="L33" s="335">
        <v>0</v>
      </c>
      <c r="M33" s="335">
        <v>0</v>
      </c>
      <c r="N33" s="316"/>
      <c r="O33" s="325"/>
      <c r="P33" s="316"/>
      <c r="Q33" s="325"/>
      <c r="R33" s="316"/>
      <c r="S33" s="316"/>
    </row>
    <row r="34" spans="1:20" x14ac:dyDescent="0.25">
      <c r="A34" s="303" t="s">
        <v>182</v>
      </c>
      <c r="B34" s="302"/>
      <c r="C34" s="302"/>
      <c r="D34" s="302"/>
      <c r="E34" s="331"/>
      <c r="F34" s="331"/>
      <c r="G34" s="331"/>
      <c r="H34" s="331"/>
      <c r="I34" s="331"/>
      <c r="J34" s="331"/>
      <c r="K34" s="331"/>
      <c r="L34" s="331"/>
      <c r="M34" s="331"/>
      <c r="N34" s="298"/>
      <c r="O34" s="334"/>
      <c r="P34" s="298"/>
      <c r="Q34" s="334"/>
      <c r="R34" s="298"/>
      <c r="S34" s="298"/>
    </row>
    <row r="35" spans="1:20" x14ac:dyDescent="0.25">
      <c r="A35" s="303" t="s">
        <v>194</v>
      </c>
      <c r="B35" s="302">
        <v>1410</v>
      </c>
      <c r="C35" s="321" t="s">
        <v>238</v>
      </c>
      <c r="D35" s="321"/>
      <c r="E35" s="331">
        <v>0</v>
      </c>
      <c r="F35" s="331"/>
      <c r="G35" s="331">
        <v>0</v>
      </c>
      <c r="H35" s="331">
        <v>0</v>
      </c>
      <c r="I35" s="331">
        <v>0</v>
      </c>
      <c r="J35" s="331"/>
      <c r="L35" s="331"/>
      <c r="M35" s="331"/>
      <c r="N35" s="298"/>
      <c r="O35" s="334"/>
      <c r="P35" s="298"/>
      <c r="Q35" s="334"/>
      <c r="R35" s="298"/>
      <c r="S35" s="298"/>
    </row>
    <row r="36" spans="1:20" x14ac:dyDescent="0.25">
      <c r="A36" s="303" t="s">
        <v>199</v>
      </c>
      <c r="B36" s="302">
        <v>1420</v>
      </c>
      <c r="C36" s="321" t="s">
        <v>238</v>
      </c>
      <c r="D36" s="321"/>
      <c r="E36" s="331">
        <v>0</v>
      </c>
      <c r="F36" s="331"/>
      <c r="G36" s="331"/>
      <c r="H36" s="331"/>
      <c r="I36" s="331"/>
      <c r="J36" s="331"/>
      <c r="K36" s="331">
        <v>0</v>
      </c>
      <c r="L36" s="338"/>
      <c r="M36" s="338"/>
      <c r="N36" s="298"/>
      <c r="O36" s="334"/>
      <c r="P36" s="298"/>
      <c r="Q36" s="334"/>
      <c r="R36" s="298"/>
      <c r="S36" s="298"/>
    </row>
    <row r="37" spans="1:20" s="320" customFormat="1" x14ac:dyDescent="0.25">
      <c r="A37" s="303" t="s">
        <v>236</v>
      </c>
      <c r="B37" s="302">
        <v>1430</v>
      </c>
      <c r="C37" s="321" t="s">
        <v>238</v>
      </c>
      <c r="D37" s="321"/>
      <c r="E37" s="331">
        <v>0</v>
      </c>
      <c r="F37" s="331"/>
      <c r="G37" s="331"/>
      <c r="H37" s="331"/>
      <c r="I37" s="331"/>
      <c r="J37" s="331"/>
      <c r="K37" s="331"/>
      <c r="L37" s="331"/>
      <c r="M37" s="331"/>
      <c r="N37" s="319"/>
      <c r="O37" s="318"/>
      <c r="P37" s="319"/>
      <c r="Q37" s="318"/>
      <c r="R37" s="319"/>
      <c r="S37" s="319"/>
    </row>
    <row r="38" spans="1:20" s="317" customFormat="1" x14ac:dyDescent="0.25">
      <c r="A38" s="313" t="s">
        <v>237</v>
      </c>
      <c r="B38" s="322">
        <v>1500</v>
      </c>
      <c r="C38" s="323" t="s">
        <v>392</v>
      </c>
      <c r="D38" s="323"/>
      <c r="E38" s="335">
        <v>0</v>
      </c>
      <c r="F38" s="335">
        <v>0</v>
      </c>
      <c r="G38" s="335">
        <v>0</v>
      </c>
      <c r="H38" s="335">
        <v>0</v>
      </c>
      <c r="I38" s="335">
        <v>0</v>
      </c>
      <c r="J38" s="335">
        <v>0</v>
      </c>
      <c r="K38" s="335">
        <v>0</v>
      </c>
      <c r="L38" s="335">
        <v>0</v>
      </c>
      <c r="M38" s="335">
        <v>0</v>
      </c>
      <c r="N38" s="316"/>
      <c r="O38" s="325"/>
      <c r="P38" s="316"/>
      <c r="Q38" s="325"/>
      <c r="R38" s="316"/>
      <c r="S38" s="316"/>
    </row>
    <row r="39" spans="1:20" s="320" customFormat="1" x14ac:dyDescent="0.25">
      <c r="A39" s="303" t="s">
        <v>182</v>
      </c>
      <c r="B39" s="302"/>
      <c r="C39" s="321"/>
      <c r="D39" s="321"/>
      <c r="E39" s="331"/>
      <c r="F39" s="331"/>
      <c r="G39" s="338"/>
      <c r="H39" s="338"/>
      <c r="I39" s="338"/>
      <c r="J39" s="338"/>
      <c r="K39" s="338"/>
      <c r="L39" s="338"/>
      <c r="M39" s="402"/>
      <c r="N39" s="319"/>
      <c r="O39" s="318"/>
      <c r="P39" s="319"/>
      <c r="Q39" s="318"/>
      <c r="R39" s="319"/>
      <c r="S39" s="319"/>
    </row>
    <row r="40" spans="1:20" s="320" customFormat="1" x14ac:dyDescent="0.25">
      <c r="A40" s="303"/>
      <c r="B40" s="302"/>
      <c r="C40" s="321"/>
      <c r="D40" s="408"/>
      <c r="E40" s="366"/>
      <c r="F40" s="331"/>
      <c r="G40" s="338"/>
      <c r="H40" s="338"/>
      <c r="I40" s="338"/>
      <c r="J40" s="338"/>
      <c r="K40" s="338"/>
      <c r="L40" s="367"/>
      <c r="M40" s="402"/>
      <c r="N40" s="412"/>
      <c r="O40" s="319"/>
      <c r="P40" s="318"/>
      <c r="Q40" s="319"/>
      <c r="R40" s="318"/>
      <c r="S40" s="319"/>
      <c r="T40" s="319"/>
    </row>
    <row r="41" spans="1:20" s="317" customFormat="1" x14ac:dyDescent="0.25">
      <c r="A41" s="313" t="s">
        <v>421</v>
      </c>
      <c r="B41" s="322">
        <v>1900</v>
      </c>
      <c r="C41" s="322"/>
      <c r="D41" s="322"/>
      <c r="E41" s="335">
        <v>0</v>
      </c>
      <c r="F41" s="335">
        <v>0</v>
      </c>
      <c r="G41" s="335">
        <v>0</v>
      </c>
      <c r="H41" s="335">
        <v>0</v>
      </c>
      <c r="I41" s="335">
        <v>0</v>
      </c>
      <c r="J41" s="335">
        <v>0</v>
      </c>
      <c r="K41" s="335">
        <v>0</v>
      </c>
      <c r="L41" s="335">
        <v>0</v>
      </c>
      <c r="M41" s="405">
        <v>0</v>
      </c>
      <c r="N41" s="413"/>
      <c r="O41" s="336"/>
      <c r="P41" s="325"/>
      <c r="Q41" s="316"/>
      <c r="R41" s="325"/>
      <c r="S41" s="316"/>
      <c r="T41" s="316"/>
    </row>
    <row r="42" spans="1:20" s="320" customFormat="1" x14ac:dyDescent="0.25">
      <c r="A42" s="303" t="s">
        <v>182</v>
      </c>
      <c r="B42" s="302"/>
      <c r="C42" s="321"/>
      <c r="D42" s="408"/>
      <c r="E42" s="366"/>
      <c r="F42" s="331"/>
      <c r="G42" s="338"/>
      <c r="H42" s="338"/>
      <c r="I42" s="338"/>
      <c r="J42" s="338"/>
      <c r="K42" s="338"/>
      <c r="L42" s="367"/>
      <c r="M42" s="402"/>
      <c r="N42" s="412"/>
      <c r="O42" s="319"/>
      <c r="P42" s="318"/>
      <c r="Q42" s="319"/>
      <c r="R42" s="318"/>
      <c r="S42" s="319"/>
      <c r="T42" s="319"/>
    </row>
    <row r="43" spans="1:20" s="320" customFormat="1" x14ac:dyDescent="0.25">
      <c r="A43" s="303"/>
      <c r="B43" s="302"/>
      <c r="C43" s="321"/>
      <c r="D43" s="408"/>
      <c r="E43" s="366"/>
      <c r="F43" s="331"/>
      <c r="G43" s="338"/>
      <c r="H43" s="338"/>
      <c r="I43" s="338"/>
      <c r="J43" s="338"/>
      <c r="K43" s="338"/>
      <c r="L43" s="367"/>
      <c r="M43" s="402"/>
      <c r="N43" s="412"/>
      <c r="O43" s="319"/>
      <c r="P43" s="318"/>
      <c r="Q43" s="319"/>
      <c r="R43" s="318"/>
      <c r="S43" s="319"/>
      <c r="T43" s="319"/>
    </row>
    <row r="44" spans="1:20" s="317" customFormat="1" ht="18" x14ac:dyDescent="0.25">
      <c r="A44" s="313" t="s">
        <v>239</v>
      </c>
      <c r="B44" s="322">
        <v>1980</v>
      </c>
      <c r="C44" s="322" t="s">
        <v>190</v>
      </c>
      <c r="D44" s="322"/>
      <c r="E44" s="335">
        <v>0</v>
      </c>
      <c r="F44" s="335">
        <v>0</v>
      </c>
      <c r="G44" s="335">
        <v>0</v>
      </c>
      <c r="H44" s="335">
        <v>0</v>
      </c>
      <c r="I44" s="335">
        <v>0</v>
      </c>
      <c r="J44" s="335">
        <v>0</v>
      </c>
      <c r="K44" s="335">
        <v>0</v>
      </c>
      <c r="L44" s="335">
        <v>0</v>
      </c>
      <c r="M44" s="405">
        <v>0</v>
      </c>
      <c r="N44" s="336"/>
      <c r="O44" s="325"/>
      <c r="P44" s="316"/>
      <c r="Q44" s="325"/>
      <c r="R44" s="316"/>
      <c r="S44" s="316"/>
    </row>
    <row r="45" spans="1:20" x14ac:dyDescent="0.25">
      <c r="A45" s="303" t="s">
        <v>187</v>
      </c>
      <c r="B45" s="302"/>
      <c r="C45" s="302"/>
      <c r="D45" s="302"/>
      <c r="E45" s="305"/>
      <c r="F45" s="305"/>
      <c r="G45" s="305"/>
      <c r="H45" s="305"/>
      <c r="I45" s="305"/>
      <c r="J45" s="305"/>
      <c r="K45" s="305"/>
      <c r="L45" s="305"/>
      <c r="M45" s="406"/>
      <c r="N45" s="298"/>
      <c r="O45" s="334"/>
      <c r="P45" s="298"/>
      <c r="Q45" s="334"/>
      <c r="R45" s="298"/>
      <c r="S45" s="298"/>
    </row>
    <row r="46" spans="1:20" s="320" customFormat="1" ht="36.75" customHeight="1" x14ac:dyDescent="0.25">
      <c r="A46" s="303" t="s">
        <v>240</v>
      </c>
      <c r="B46" s="302">
        <v>1981</v>
      </c>
      <c r="C46" s="321" t="s">
        <v>241</v>
      </c>
      <c r="D46" s="321"/>
      <c r="E46" s="340">
        <v>0</v>
      </c>
      <c r="F46" s="340"/>
      <c r="G46" s="340"/>
      <c r="H46" s="340"/>
      <c r="I46" s="340"/>
      <c r="J46" s="340"/>
      <c r="K46" s="340"/>
      <c r="L46" s="340"/>
      <c r="M46" s="409"/>
      <c r="N46" s="319"/>
      <c r="O46" s="318"/>
      <c r="P46" s="319"/>
      <c r="Q46" s="318"/>
      <c r="R46" s="319"/>
      <c r="S46" s="319"/>
    </row>
    <row r="47" spans="1:20" x14ac:dyDescent="0.25">
      <c r="A47" s="303"/>
      <c r="B47" s="302"/>
      <c r="C47" s="302"/>
      <c r="D47" s="302"/>
      <c r="E47" s="305"/>
      <c r="F47" s="305"/>
      <c r="G47" s="305"/>
      <c r="H47" s="305"/>
      <c r="I47" s="305"/>
      <c r="J47" s="305"/>
      <c r="K47" s="305"/>
      <c r="L47" s="305"/>
      <c r="M47" s="406"/>
      <c r="N47" s="298"/>
      <c r="O47" s="334"/>
      <c r="P47" s="298"/>
      <c r="Q47" s="334"/>
      <c r="R47" s="298"/>
      <c r="S47" s="298"/>
    </row>
    <row r="48" spans="1:20" s="312" customFormat="1" x14ac:dyDescent="0.25">
      <c r="A48" s="308" t="s">
        <v>242</v>
      </c>
      <c r="B48" s="341">
        <v>2000</v>
      </c>
      <c r="C48" s="341" t="s">
        <v>190</v>
      </c>
      <c r="D48" s="341"/>
      <c r="E48" s="342"/>
      <c r="F48" s="342"/>
      <c r="G48" s="342"/>
      <c r="H48" s="342"/>
      <c r="I48" s="342"/>
      <c r="J48" s="342"/>
      <c r="K48" s="342"/>
      <c r="L48" s="342"/>
      <c r="M48" s="410">
        <v>0</v>
      </c>
      <c r="N48" s="343"/>
      <c r="O48" s="344"/>
      <c r="P48" s="343"/>
      <c r="Q48" s="344"/>
      <c r="R48" s="343"/>
      <c r="S48" s="343"/>
    </row>
    <row r="49" spans="1:20" x14ac:dyDescent="0.25">
      <c r="A49" s="303" t="s">
        <v>182</v>
      </c>
      <c r="B49" s="302"/>
      <c r="C49" s="302"/>
      <c r="D49" s="302"/>
      <c r="E49" s="305"/>
      <c r="F49" s="305"/>
      <c r="G49" s="305"/>
      <c r="H49" s="305"/>
      <c r="I49" s="305"/>
      <c r="J49" s="305"/>
      <c r="K49" s="305"/>
      <c r="L49" s="305"/>
      <c r="M49" s="406"/>
      <c r="N49" s="298"/>
      <c r="O49" s="334"/>
      <c r="P49" s="298"/>
      <c r="Q49" s="334"/>
      <c r="R49" s="298"/>
      <c r="S49" s="298"/>
    </row>
    <row r="50" spans="1:20" s="317" customFormat="1" ht="36.75" customHeight="1" x14ac:dyDescent="0.25">
      <c r="A50" s="313" t="s">
        <v>243</v>
      </c>
      <c r="B50" s="322">
        <v>2100</v>
      </c>
      <c r="C50" s="322" t="s">
        <v>190</v>
      </c>
      <c r="D50" s="322"/>
      <c r="E50" s="324"/>
      <c r="F50" s="324"/>
      <c r="G50" s="324"/>
      <c r="H50" s="324"/>
      <c r="I50" s="324"/>
      <c r="J50" s="324"/>
      <c r="K50" s="324"/>
      <c r="L50" s="324"/>
      <c r="M50" s="411">
        <v>0</v>
      </c>
      <c r="N50" s="316"/>
      <c r="O50" s="325"/>
      <c r="P50" s="316"/>
      <c r="Q50" s="325"/>
      <c r="R50" s="316"/>
      <c r="S50" s="316"/>
    </row>
    <row r="51" spans="1:20" ht="20.25" customHeight="1" x14ac:dyDescent="0.25">
      <c r="A51" s="303" t="s">
        <v>182</v>
      </c>
      <c r="B51" s="302"/>
      <c r="C51" s="302"/>
      <c r="D51" s="302"/>
      <c r="E51" s="305"/>
      <c r="F51" s="305"/>
      <c r="G51" s="305"/>
      <c r="H51" s="305"/>
      <c r="I51" s="305"/>
      <c r="J51" s="305"/>
      <c r="K51" s="305"/>
      <c r="L51" s="305"/>
      <c r="M51" s="406"/>
      <c r="N51" s="298"/>
      <c r="O51" s="334"/>
      <c r="P51" s="298"/>
      <c r="Q51" s="334"/>
      <c r="R51" s="298"/>
      <c r="S51" s="298"/>
    </row>
    <row r="52" spans="1:20" ht="20.25" customHeight="1" x14ac:dyDescent="0.25">
      <c r="A52" s="303" t="s">
        <v>244</v>
      </c>
      <c r="B52" s="302">
        <v>2110</v>
      </c>
      <c r="C52" s="302">
        <v>111</v>
      </c>
      <c r="D52" s="302"/>
      <c r="E52" s="305"/>
      <c r="F52" s="305"/>
      <c r="G52" s="305"/>
      <c r="H52" s="305"/>
      <c r="I52" s="305"/>
      <c r="J52" s="305"/>
      <c r="K52" s="305"/>
      <c r="L52" s="305"/>
      <c r="M52" s="406"/>
      <c r="N52" s="298"/>
      <c r="O52" s="334"/>
      <c r="P52" s="298"/>
      <c r="Q52" s="334"/>
      <c r="R52" s="298"/>
      <c r="S52" s="298"/>
    </row>
    <row r="53" spans="1:20" ht="33.75" customHeight="1" x14ac:dyDescent="0.25">
      <c r="A53" s="303" t="s">
        <v>245</v>
      </c>
      <c r="B53" s="302">
        <v>2120</v>
      </c>
      <c r="C53" s="302">
        <v>112</v>
      </c>
      <c r="D53" s="302"/>
      <c r="E53" s="305"/>
      <c r="F53" s="305"/>
      <c r="G53" s="305"/>
      <c r="H53" s="305"/>
      <c r="I53" s="305"/>
      <c r="J53" s="305"/>
      <c r="K53" s="305"/>
      <c r="L53" s="305"/>
      <c r="M53" s="406"/>
      <c r="N53" s="298"/>
      <c r="O53" s="334"/>
      <c r="P53" s="298"/>
      <c r="Q53" s="334"/>
      <c r="R53" s="298"/>
      <c r="S53" s="298"/>
    </row>
    <row r="54" spans="1:20" ht="31.2" x14ac:dyDescent="0.25">
      <c r="A54" s="303" t="s">
        <v>246</v>
      </c>
      <c r="B54" s="302">
        <v>2130</v>
      </c>
      <c r="C54" s="302">
        <v>113</v>
      </c>
      <c r="D54" s="302"/>
      <c r="E54" s="305"/>
      <c r="F54" s="305"/>
      <c r="G54" s="305"/>
      <c r="H54" s="305"/>
      <c r="I54" s="305"/>
      <c r="J54" s="305"/>
      <c r="K54" s="305"/>
      <c r="L54" s="305"/>
      <c r="M54" s="406"/>
      <c r="N54" s="298"/>
      <c r="O54" s="334"/>
      <c r="P54" s="298"/>
      <c r="Q54" s="334"/>
      <c r="R54" s="298"/>
      <c r="S54" s="298"/>
    </row>
    <row r="55" spans="1:20" ht="31.2" x14ac:dyDescent="0.25">
      <c r="A55" s="303" t="s">
        <v>247</v>
      </c>
      <c r="B55" s="302">
        <v>2140</v>
      </c>
      <c r="C55" s="302">
        <v>119</v>
      </c>
      <c r="D55" s="302"/>
      <c r="E55" s="305">
        <v>0</v>
      </c>
      <c r="F55" s="348">
        <v>0</v>
      </c>
      <c r="G55" s="305"/>
      <c r="H55" s="305"/>
      <c r="I55" s="305"/>
      <c r="J55" s="305"/>
      <c r="K55" s="305"/>
      <c r="L55" s="305">
        <v>0</v>
      </c>
      <c r="M55" s="406"/>
      <c r="N55" s="298"/>
      <c r="O55" s="334"/>
      <c r="P55" s="298"/>
      <c r="Q55" s="334"/>
      <c r="R55" s="298"/>
      <c r="S55" s="298"/>
    </row>
    <row r="56" spans="1:20" x14ac:dyDescent="0.25">
      <c r="A56" s="303" t="s">
        <v>182</v>
      </c>
      <c r="B56" s="302"/>
      <c r="C56" s="302"/>
      <c r="D56" s="302"/>
      <c r="E56" s="305"/>
      <c r="F56" s="305"/>
      <c r="G56" s="305"/>
      <c r="H56" s="305"/>
      <c r="I56" s="305"/>
      <c r="J56" s="305"/>
      <c r="K56" s="305"/>
      <c r="L56" s="305"/>
      <c r="M56" s="406"/>
      <c r="N56" s="298"/>
      <c r="O56" s="334"/>
      <c r="P56" s="298"/>
      <c r="Q56" s="334"/>
      <c r="R56" s="298"/>
      <c r="S56" s="298"/>
    </row>
    <row r="57" spans="1:20" x14ac:dyDescent="0.25">
      <c r="A57" s="303" t="s">
        <v>248</v>
      </c>
      <c r="B57" s="302">
        <v>2141</v>
      </c>
      <c r="C57" s="302">
        <v>119</v>
      </c>
      <c r="D57" s="302"/>
      <c r="E57" s="305">
        <v>0</v>
      </c>
      <c r="F57" s="305">
        <v>0</v>
      </c>
      <c r="G57" s="305"/>
      <c r="H57" s="305"/>
      <c r="I57" s="305"/>
      <c r="J57" s="305"/>
      <c r="K57" s="305"/>
      <c r="L57" s="305">
        <v>0</v>
      </c>
      <c r="M57" s="406"/>
      <c r="N57" s="298"/>
      <c r="O57" s="334"/>
      <c r="P57" s="298"/>
      <c r="Q57" s="334"/>
      <c r="R57" s="298"/>
      <c r="S57" s="298"/>
    </row>
    <row r="58" spans="1:20" x14ac:dyDescent="0.25">
      <c r="A58" s="303" t="s">
        <v>249</v>
      </c>
      <c r="B58" s="302">
        <v>2142</v>
      </c>
      <c r="C58" s="302">
        <v>119</v>
      </c>
      <c r="D58" s="302"/>
      <c r="E58" s="305"/>
      <c r="F58" s="305"/>
      <c r="G58" s="305"/>
      <c r="H58" s="305"/>
      <c r="I58" s="305"/>
      <c r="J58" s="305"/>
      <c r="K58" s="305"/>
      <c r="L58" s="305"/>
      <c r="M58" s="406"/>
      <c r="N58" s="298"/>
      <c r="O58" s="334"/>
      <c r="P58" s="298"/>
      <c r="Q58" s="334"/>
      <c r="R58" s="298"/>
      <c r="S58" s="298"/>
    </row>
    <row r="59" spans="1:20" s="317" customFormat="1" x14ac:dyDescent="0.25">
      <c r="A59" s="313" t="s">
        <v>250</v>
      </c>
      <c r="B59" s="322">
        <v>2200</v>
      </c>
      <c r="C59" s="322">
        <v>300</v>
      </c>
      <c r="D59" s="322"/>
      <c r="E59" s="324">
        <v>0</v>
      </c>
      <c r="F59" s="324">
        <v>0</v>
      </c>
      <c r="G59" s="324">
        <v>0</v>
      </c>
      <c r="H59" s="324">
        <v>0</v>
      </c>
      <c r="I59" s="324">
        <v>0</v>
      </c>
      <c r="J59" s="324">
        <v>0</v>
      </c>
      <c r="K59" s="324">
        <v>0</v>
      </c>
      <c r="L59" s="324">
        <v>0</v>
      </c>
      <c r="M59" s="411">
        <v>0</v>
      </c>
      <c r="N59" s="316"/>
      <c r="O59" s="325"/>
      <c r="P59" s="316"/>
      <c r="Q59" s="325"/>
      <c r="R59" s="316"/>
      <c r="S59" s="316"/>
    </row>
    <row r="60" spans="1:20" x14ac:dyDescent="0.25">
      <c r="A60" s="303" t="s">
        <v>182</v>
      </c>
      <c r="B60" s="302"/>
      <c r="C60" s="302"/>
      <c r="D60" s="302"/>
      <c r="E60" s="305"/>
      <c r="F60" s="305"/>
      <c r="G60" s="305"/>
      <c r="H60" s="305"/>
      <c r="I60" s="305"/>
      <c r="J60" s="305"/>
      <c r="K60" s="305"/>
      <c r="L60" s="305"/>
      <c r="M60" s="406"/>
      <c r="N60" s="298"/>
      <c r="O60" s="334"/>
      <c r="P60" s="298"/>
      <c r="Q60" s="334"/>
      <c r="R60" s="298"/>
      <c r="S60" s="298"/>
    </row>
    <row r="61" spans="1:20" ht="31.2" x14ac:dyDescent="0.25">
      <c r="A61" s="303" t="s">
        <v>251</v>
      </c>
      <c r="B61" s="302">
        <v>2210</v>
      </c>
      <c r="C61" s="302">
        <v>320</v>
      </c>
      <c r="D61" s="302"/>
      <c r="E61" s="305">
        <v>0</v>
      </c>
      <c r="F61" s="305"/>
      <c r="G61" s="305"/>
      <c r="H61" s="305"/>
      <c r="I61" s="305"/>
      <c r="J61" s="305"/>
      <c r="K61" s="305"/>
      <c r="L61" s="305"/>
      <c r="M61" s="406"/>
      <c r="N61" s="298"/>
      <c r="O61" s="334"/>
      <c r="P61" s="298"/>
      <c r="Q61" s="334"/>
      <c r="R61" s="298"/>
      <c r="S61" s="298"/>
    </row>
    <row r="62" spans="1:20" ht="54.75" customHeight="1" x14ac:dyDescent="0.25">
      <c r="A62" s="303" t="s">
        <v>252</v>
      </c>
      <c r="B62" s="302">
        <v>2211</v>
      </c>
      <c r="C62" s="302">
        <v>321</v>
      </c>
      <c r="D62" s="302"/>
      <c r="E62" s="305">
        <v>0</v>
      </c>
      <c r="F62" s="305"/>
      <c r="G62" s="305">
        <v>0</v>
      </c>
      <c r="H62" s="305"/>
      <c r="I62" s="305"/>
      <c r="J62" s="305"/>
      <c r="K62" s="305"/>
      <c r="L62" s="305"/>
      <c r="M62" s="406"/>
      <c r="N62" s="298"/>
      <c r="O62" s="334"/>
      <c r="P62" s="298"/>
      <c r="Q62" s="334"/>
      <c r="R62" s="298"/>
      <c r="S62" s="298"/>
    </row>
    <row r="63" spans="1:20" ht="31.2" x14ac:dyDescent="0.25">
      <c r="A63" s="303" t="s">
        <v>422</v>
      </c>
      <c r="B63" s="302">
        <v>2220</v>
      </c>
      <c r="C63" s="302">
        <v>340</v>
      </c>
      <c r="D63" s="302"/>
      <c r="E63" s="305"/>
      <c r="F63" s="305"/>
      <c r="G63" s="305"/>
      <c r="H63" s="396"/>
      <c r="I63" s="305"/>
      <c r="J63" s="305"/>
      <c r="K63" s="305"/>
      <c r="L63" s="305"/>
      <c r="M63" s="406"/>
      <c r="N63" s="414"/>
      <c r="O63" s="298"/>
      <c r="P63" s="334"/>
      <c r="Q63" s="298"/>
      <c r="R63" s="334"/>
      <c r="S63" s="298"/>
      <c r="T63" s="298"/>
    </row>
    <row r="64" spans="1:20" ht="46.8" x14ac:dyDescent="0.25">
      <c r="A64" s="303" t="s">
        <v>423</v>
      </c>
      <c r="B64" s="302">
        <v>2230</v>
      </c>
      <c r="C64" s="302">
        <v>350</v>
      </c>
      <c r="D64" s="302"/>
      <c r="E64" s="305"/>
      <c r="F64" s="305"/>
      <c r="G64" s="305"/>
      <c r="H64" s="396"/>
      <c r="I64" s="305"/>
      <c r="J64" s="305"/>
      <c r="K64" s="305"/>
      <c r="L64" s="305"/>
      <c r="M64" s="406"/>
      <c r="N64" s="414"/>
      <c r="O64" s="298"/>
      <c r="P64" s="334"/>
      <c r="Q64" s="298"/>
      <c r="R64" s="334"/>
      <c r="S64" s="298"/>
      <c r="T64" s="298"/>
    </row>
    <row r="65" spans="1:20" x14ac:dyDescent="0.25">
      <c r="A65" s="303" t="s">
        <v>424</v>
      </c>
      <c r="B65" s="302">
        <v>2240</v>
      </c>
      <c r="C65" s="302">
        <v>360</v>
      </c>
      <c r="D65" s="302"/>
      <c r="E65" s="305"/>
      <c r="F65" s="305"/>
      <c r="G65" s="305"/>
      <c r="H65" s="396"/>
      <c r="I65" s="305"/>
      <c r="J65" s="305"/>
      <c r="K65" s="305"/>
      <c r="L65" s="305"/>
      <c r="M65" s="406"/>
      <c r="N65" s="414"/>
      <c r="O65" s="298"/>
      <c r="P65" s="334"/>
      <c r="Q65" s="298"/>
      <c r="R65" s="334"/>
      <c r="S65" s="298"/>
      <c r="T65" s="298"/>
    </row>
    <row r="66" spans="1:20" s="317" customFormat="1" x14ac:dyDescent="0.25">
      <c r="A66" s="313" t="s">
        <v>253</v>
      </c>
      <c r="B66" s="322">
        <v>2300</v>
      </c>
      <c r="C66" s="322">
        <v>850</v>
      </c>
      <c r="D66" s="322"/>
      <c r="E66" s="324">
        <v>0</v>
      </c>
      <c r="F66" s="324">
        <v>0</v>
      </c>
      <c r="G66" s="324">
        <v>0</v>
      </c>
      <c r="H66" s="324">
        <v>0</v>
      </c>
      <c r="I66" s="324">
        <v>0</v>
      </c>
      <c r="J66" s="324">
        <v>0</v>
      </c>
      <c r="K66" s="324">
        <v>0</v>
      </c>
      <c r="L66" s="324">
        <v>0</v>
      </c>
      <c r="M66" s="411">
        <v>0</v>
      </c>
      <c r="N66" s="316"/>
      <c r="O66" s="325"/>
      <c r="P66" s="316"/>
      <c r="Q66" s="325"/>
      <c r="R66" s="316"/>
      <c r="S66" s="316"/>
    </row>
    <row r="67" spans="1:20" ht="31.2" x14ac:dyDescent="0.25">
      <c r="A67" s="303" t="s">
        <v>254</v>
      </c>
      <c r="B67" s="302">
        <v>2310</v>
      </c>
      <c r="C67" s="302">
        <v>851</v>
      </c>
      <c r="D67" s="302"/>
      <c r="E67" s="305">
        <v>0</v>
      </c>
      <c r="F67" s="305"/>
      <c r="G67" s="305"/>
      <c r="H67" s="305"/>
      <c r="I67" s="305"/>
      <c r="J67" s="305"/>
      <c r="K67" s="305"/>
      <c r="L67" s="305"/>
      <c r="M67" s="406"/>
      <c r="N67" s="298"/>
      <c r="O67" s="334"/>
      <c r="P67" s="298"/>
      <c r="Q67" s="334"/>
      <c r="R67" s="298"/>
      <c r="S67" s="298"/>
    </row>
    <row r="68" spans="1:20" ht="31.2" x14ac:dyDescent="0.25">
      <c r="A68" s="303" t="s">
        <v>255</v>
      </c>
      <c r="B68" s="302">
        <v>2320</v>
      </c>
      <c r="C68" s="302">
        <v>852</v>
      </c>
      <c r="D68" s="302"/>
      <c r="E68" s="305">
        <v>0</v>
      </c>
      <c r="F68" s="305"/>
      <c r="G68" s="305"/>
      <c r="H68" s="305"/>
      <c r="I68" s="305"/>
      <c r="J68" s="305"/>
      <c r="K68" s="305"/>
      <c r="L68" s="305"/>
      <c r="M68" s="406"/>
      <c r="N68" s="298"/>
      <c r="O68" s="334"/>
      <c r="P68" s="298"/>
      <c r="Q68" s="334"/>
      <c r="R68" s="298"/>
      <c r="S68" s="298"/>
    </row>
    <row r="69" spans="1:20" x14ac:dyDescent="0.25">
      <c r="A69" s="303" t="s">
        <v>256</v>
      </c>
      <c r="B69" s="302">
        <v>2330</v>
      </c>
      <c r="C69" s="302">
        <v>853</v>
      </c>
      <c r="D69" s="302"/>
      <c r="E69" s="305">
        <v>0</v>
      </c>
      <c r="F69" s="305"/>
      <c r="G69" s="305"/>
      <c r="H69" s="305"/>
      <c r="I69" s="305"/>
      <c r="J69" s="305"/>
      <c r="K69" s="305"/>
      <c r="L69" s="305"/>
      <c r="M69" s="406"/>
      <c r="N69" s="298"/>
      <c r="O69" s="334"/>
      <c r="P69" s="298"/>
      <c r="Q69" s="334"/>
      <c r="R69" s="298"/>
      <c r="S69" s="298"/>
    </row>
    <row r="70" spans="1:20" s="317" customFormat="1" x14ac:dyDescent="0.25">
      <c r="A70" s="313" t="s">
        <v>257</v>
      </c>
      <c r="B70" s="322">
        <v>2400</v>
      </c>
      <c r="C70" s="322" t="s">
        <v>190</v>
      </c>
      <c r="D70" s="322"/>
      <c r="E70" s="324">
        <v>0</v>
      </c>
      <c r="F70" s="324">
        <v>0</v>
      </c>
      <c r="G70" s="324">
        <v>0</v>
      </c>
      <c r="H70" s="324">
        <v>0</v>
      </c>
      <c r="I70" s="324">
        <v>0</v>
      </c>
      <c r="J70" s="324">
        <v>0</v>
      </c>
      <c r="K70" s="324">
        <v>0</v>
      </c>
      <c r="L70" s="324">
        <v>0</v>
      </c>
      <c r="M70" s="411">
        <v>0</v>
      </c>
      <c r="N70" s="316"/>
      <c r="O70" s="325"/>
      <c r="P70" s="316"/>
      <c r="Q70" s="325"/>
      <c r="R70" s="316"/>
      <c r="S70" s="316"/>
    </row>
    <row r="71" spans="1:20" ht="46.8" x14ac:dyDescent="0.25">
      <c r="A71" s="363" t="s">
        <v>386</v>
      </c>
      <c r="B71" s="302">
        <v>2410</v>
      </c>
      <c r="C71" s="302">
        <v>613</v>
      </c>
      <c r="D71" s="302"/>
      <c r="E71" s="305">
        <v>0</v>
      </c>
      <c r="F71" s="305"/>
      <c r="G71" s="305"/>
      <c r="H71" s="305"/>
      <c r="I71" s="305"/>
      <c r="J71" s="305"/>
      <c r="K71" s="305"/>
      <c r="L71" s="305"/>
      <c r="M71" s="406"/>
      <c r="N71" s="298"/>
      <c r="O71" s="334"/>
      <c r="P71" s="298"/>
      <c r="Q71" s="334"/>
      <c r="R71" s="298"/>
      <c r="S71" s="298"/>
    </row>
    <row r="72" spans="1:20" x14ac:dyDescent="0.25">
      <c r="A72" s="303" t="s">
        <v>387</v>
      </c>
      <c r="B72" s="302">
        <v>2420</v>
      </c>
      <c r="C72" s="302">
        <v>623</v>
      </c>
      <c r="D72" s="302"/>
      <c r="E72" s="305">
        <v>0</v>
      </c>
      <c r="F72" s="305"/>
      <c r="G72" s="305"/>
      <c r="H72" s="305"/>
      <c r="I72" s="305"/>
      <c r="J72" s="305"/>
      <c r="K72" s="305"/>
      <c r="L72" s="305"/>
      <c r="M72" s="406"/>
      <c r="N72" s="298"/>
      <c r="O72" s="334"/>
      <c r="P72" s="298"/>
      <c r="Q72" s="334"/>
      <c r="R72" s="298"/>
      <c r="S72" s="298"/>
    </row>
    <row r="73" spans="1:20" ht="31.2" x14ac:dyDescent="0.25">
      <c r="A73" s="303" t="s">
        <v>425</v>
      </c>
      <c r="B73" s="302">
        <v>2430</v>
      </c>
      <c r="C73" s="302">
        <v>634</v>
      </c>
      <c r="D73" s="373">
        <v>634</v>
      </c>
      <c r="E73" s="305"/>
      <c r="F73" s="305"/>
      <c r="G73" s="305"/>
      <c r="H73" s="305"/>
      <c r="I73" s="305"/>
      <c r="J73" s="305"/>
      <c r="K73" s="305"/>
      <c r="L73" s="305"/>
      <c r="M73" s="406"/>
      <c r="N73" s="414"/>
      <c r="O73" s="298"/>
      <c r="P73" s="334"/>
      <c r="Q73" s="298"/>
      <c r="R73" s="334"/>
      <c r="S73" s="298"/>
      <c r="T73" s="298"/>
    </row>
    <row r="74" spans="1:20" x14ac:dyDescent="0.25">
      <c r="A74" s="303" t="s">
        <v>426</v>
      </c>
      <c r="B74" s="302">
        <v>2440</v>
      </c>
      <c r="C74" s="302">
        <v>810</v>
      </c>
      <c r="D74" s="373">
        <v>810</v>
      </c>
      <c r="E74" s="305"/>
      <c r="F74" s="305"/>
      <c r="G74" s="305"/>
      <c r="H74" s="305"/>
      <c r="I74" s="305"/>
      <c r="J74" s="305"/>
      <c r="K74" s="305"/>
      <c r="L74" s="305"/>
      <c r="M74" s="406"/>
      <c r="N74" s="414"/>
      <c r="O74" s="298"/>
      <c r="P74" s="334"/>
      <c r="Q74" s="298"/>
      <c r="R74" s="334"/>
      <c r="S74" s="298"/>
      <c r="T74" s="298"/>
    </row>
    <row r="75" spans="1:20" x14ac:dyDescent="0.25">
      <c r="A75" s="303" t="s">
        <v>258</v>
      </c>
      <c r="B75" s="302">
        <v>2450</v>
      </c>
      <c r="C75" s="302">
        <v>862</v>
      </c>
      <c r="D75" s="373">
        <v>862</v>
      </c>
      <c r="E75" s="305"/>
      <c r="F75" s="305"/>
      <c r="G75" s="305"/>
      <c r="H75" s="305"/>
      <c r="I75" s="305"/>
      <c r="J75" s="305"/>
      <c r="K75" s="305"/>
      <c r="L75" s="305"/>
      <c r="M75" s="406"/>
      <c r="N75" s="414"/>
      <c r="O75" s="298"/>
      <c r="P75" s="334"/>
      <c r="Q75" s="298"/>
      <c r="R75" s="334"/>
      <c r="S75" s="298"/>
      <c r="T75" s="298"/>
    </row>
    <row r="76" spans="1:20" ht="45.75" customHeight="1" x14ac:dyDescent="0.25">
      <c r="A76" s="303" t="s">
        <v>427</v>
      </c>
      <c r="B76" s="302">
        <v>2460</v>
      </c>
      <c r="C76" s="302">
        <v>863</v>
      </c>
      <c r="D76" s="373">
        <v>863</v>
      </c>
      <c r="E76" s="305"/>
      <c r="F76" s="305"/>
      <c r="G76" s="305"/>
      <c r="H76" s="305"/>
      <c r="I76" s="305"/>
      <c r="J76" s="305"/>
      <c r="K76" s="305"/>
      <c r="L76" s="305"/>
      <c r="M76" s="406"/>
      <c r="N76" s="414"/>
      <c r="O76" s="298"/>
      <c r="P76" s="334"/>
      <c r="Q76" s="298"/>
      <c r="R76" s="334"/>
      <c r="S76" s="298"/>
      <c r="T76" s="298"/>
    </row>
    <row r="77" spans="1:20" s="317" customFormat="1" x14ac:dyDescent="0.25">
      <c r="A77" s="313" t="s">
        <v>259</v>
      </c>
      <c r="B77" s="322">
        <v>2500</v>
      </c>
      <c r="C77" s="322" t="s">
        <v>190</v>
      </c>
      <c r="D77" s="322"/>
      <c r="E77" s="324">
        <v>0</v>
      </c>
      <c r="F77" s="324">
        <v>0</v>
      </c>
      <c r="G77" s="324">
        <v>0</v>
      </c>
      <c r="H77" s="324">
        <v>0</v>
      </c>
      <c r="I77" s="324">
        <v>0</v>
      </c>
      <c r="J77" s="324">
        <v>0</v>
      </c>
      <c r="K77" s="324">
        <v>0</v>
      </c>
      <c r="L77" s="324">
        <v>0</v>
      </c>
      <c r="M77" s="411">
        <v>0</v>
      </c>
      <c r="N77" s="316"/>
      <c r="O77" s="325"/>
      <c r="P77" s="316"/>
      <c r="Q77" s="325"/>
      <c r="R77" s="316"/>
      <c r="S77" s="316"/>
    </row>
    <row r="78" spans="1:20" ht="31.2" x14ac:dyDescent="0.25">
      <c r="A78" s="303" t="s">
        <v>260</v>
      </c>
      <c r="B78" s="302">
        <v>252</v>
      </c>
      <c r="C78" s="302">
        <v>831</v>
      </c>
      <c r="D78" s="302"/>
      <c r="E78" s="305">
        <v>0</v>
      </c>
      <c r="F78" s="305"/>
      <c r="G78" s="305"/>
      <c r="H78" s="305"/>
      <c r="I78" s="305"/>
      <c r="J78" s="305"/>
      <c r="K78" s="305"/>
      <c r="L78" s="305"/>
      <c r="M78" s="406"/>
      <c r="N78" s="298"/>
      <c r="O78" s="334"/>
      <c r="P78" s="298"/>
      <c r="Q78" s="334"/>
      <c r="R78" s="298"/>
      <c r="S78" s="298"/>
    </row>
    <row r="79" spans="1:20" s="317" customFormat="1" ht="18" x14ac:dyDescent="0.25">
      <c r="A79" s="313" t="s">
        <v>261</v>
      </c>
      <c r="B79" s="322">
        <v>2600</v>
      </c>
      <c r="C79" s="322" t="s">
        <v>190</v>
      </c>
      <c r="D79" s="322"/>
      <c r="E79" s="324">
        <v>0</v>
      </c>
      <c r="F79" s="324">
        <v>0</v>
      </c>
      <c r="G79" s="324">
        <v>0</v>
      </c>
      <c r="H79" s="324">
        <v>0</v>
      </c>
      <c r="I79" s="324">
        <v>0</v>
      </c>
      <c r="J79" s="324">
        <v>0</v>
      </c>
      <c r="K79" s="324">
        <v>0</v>
      </c>
      <c r="L79" s="324">
        <v>0</v>
      </c>
      <c r="M79" s="324">
        <v>0</v>
      </c>
      <c r="N79" s="316"/>
      <c r="O79" s="325"/>
      <c r="P79" s="316"/>
      <c r="Q79" s="325"/>
      <c r="R79" s="316"/>
      <c r="S79" s="316"/>
    </row>
    <row r="80" spans="1:20" ht="31.2" x14ac:dyDescent="0.25">
      <c r="A80" s="303" t="s">
        <v>262</v>
      </c>
      <c r="B80" s="302">
        <v>2610</v>
      </c>
      <c r="C80" s="302">
        <v>241</v>
      </c>
      <c r="D80" s="302"/>
      <c r="E80" s="305">
        <v>0</v>
      </c>
      <c r="F80" s="305"/>
      <c r="G80" s="305"/>
      <c r="H80" s="305"/>
      <c r="I80" s="305"/>
      <c r="J80" s="305"/>
      <c r="K80" s="305"/>
      <c r="L80" s="305"/>
      <c r="M80" s="305"/>
      <c r="N80" s="298"/>
      <c r="O80" s="334"/>
      <c r="P80" s="298"/>
      <c r="Q80" s="334"/>
      <c r="R80" s="298"/>
      <c r="S80" s="298"/>
    </row>
    <row r="81" spans="1:19" ht="31.2" x14ac:dyDescent="0.25">
      <c r="A81" s="303" t="s">
        <v>263</v>
      </c>
      <c r="B81" s="302">
        <v>2620</v>
      </c>
      <c r="C81" s="302">
        <v>242</v>
      </c>
      <c r="D81" s="302"/>
      <c r="E81" s="305">
        <v>0</v>
      </c>
      <c r="F81" s="305"/>
      <c r="G81" s="305"/>
      <c r="H81" s="305"/>
      <c r="I81" s="305"/>
      <c r="J81" s="305"/>
      <c r="K81" s="305"/>
      <c r="L81" s="305"/>
      <c r="M81" s="305"/>
      <c r="N81" s="298"/>
      <c r="O81" s="334"/>
      <c r="P81" s="298"/>
      <c r="Q81" s="334"/>
      <c r="R81" s="298"/>
      <c r="S81" s="298"/>
    </row>
    <row r="82" spans="1:19" ht="31.2" x14ac:dyDescent="0.25">
      <c r="A82" s="303" t="s">
        <v>264</v>
      </c>
      <c r="B82" s="302">
        <v>2630</v>
      </c>
      <c r="C82" s="302">
        <v>243</v>
      </c>
      <c r="D82" s="302"/>
      <c r="E82" s="305">
        <v>0</v>
      </c>
      <c r="F82" s="305"/>
      <c r="G82" s="305"/>
      <c r="H82" s="305"/>
      <c r="I82" s="305"/>
      <c r="J82" s="305"/>
      <c r="K82" s="305"/>
      <c r="L82" s="305"/>
      <c r="M82" s="305"/>
      <c r="N82" s="298"/>
      <c r="O82" s="334"/>
      <c r="P82" s="298"/>
      <c r="Q82" s="334"/>
      <c r="R82" s="298"/>
      <c r="S82" s="298"/>
    </row>
    <row r="83" spans="1:19" ht="21.75" customHeight="1" x14ac:dyDescent="0.25">
      <c r="A83" s="303" t="s">
        <v>265</v>
      </c>
      <c r="B83" s="302">
        <v>2640</v>
      </c>
      <c r="C83" s="302">
        <v>244</v>
      </c>
      <c r="D83" s="302"/>
      <c r="E83" s="305">
        <v>0</v>
      </c>
      <c r="F83" s="305">
        <v>0</v>
      </c>
      <c r="G83" s="305"/>
      <c r="H83" s="305"/>
      <c r="I83" s="305">
        <v>0</v>
      </c>
      <c r="J83" s="305"/>
      <c r="K83" s="305">
        <v>0</v>
      </c>
      <c r="L83" s="305">
        <v>0</v>
      </c>
      <c r="M83" s="305"/>
      <c r="N83" s="298"/>
      <c r="O83" s="334"/>
      <c r="P83" s="298"/>
      <c r="Q83" s="334"/>
      <c r="R83" s="298"/>
      <c r="S83" s="298"/>
    </row>
    <row r="84" spans="1:19" ht="31.2" x14ac:dyDescent="0.25">
      <c r="A84" s="303" t="s">
        <v>428</v>
      </c>
      <c r="B84" s="302">
        <v>2650</v>
      </c>
      <c r="C84" s="302">
        <v>246</v>
      </c>
      <c r="D84" s="302"/>
      <c r="E84" s="305">
        <v>0</v>
      </c>
      <c r="F84" s="305"/>
      <c r="G84" s="305"/>
      <c r="H84" s="305"/>
      <c r="I84" s="305"/>
      <c r="J84" s="305"/>
      <c r="K84" s="305"/>
      <c r="L84" s="305"/>
      <c r="M84" s="305"/>
      <c r="N84" s="298"/>
      <c r="O84" s="334"/>
      <c r="P84" s="298"/>
      <c r="Q84" s="334"/>
      <c r="R84" s="298"/>
      <c r="S84" s="298"/>
    </row>
    <row r="85" spans="1:19" ht="21.75" customHeight="1" x14ac:dyDescent="0.25">
      <c r="A85" s="303" t="s">
        <v>403</v>
      </c>
      <c r="B85" s="302">
        <v>2660</v>
      </c>
      <c r="C85" s="302">
        <v>247</v>
      </c>
      <c r="D85" s="302"/>
      <c r="E85" s="305">
        <v>0</v>
      </c>
      <c r="F85" s="305"/>
      <c r="G85" s="305"/>
      <c r="H85" s="305"/>
      <c r="I85" s="305"/>
      <c r="J85" s="305"/>
      <c r="K85" s="305"/>
      <c r="L85" s="305"/>
      <c r="M85" s="305"/>
      <c r="N85" s="298"/>
      <c r="O85" s="334"/>
      <c r="P85" s="298"/>
      <c r="Q85" s="334"/>
      <c r="R85" s="298"/>
      <c r="S85" s="298"/>
    </row>
    <row r="86" spans="1:19" x14ac:dyDescent="0.25">
      <c r="A86" s="303" t="s">
        <v>266</v>
      </c>
      <c r="B86" s="302">
        <v>2700</v>
      </c>
      <c r="C86" s="302">
        <v>400</v>
      </c>
      <c r="D86" s="302"/>
      <c r="E86" s="305">
        <v>0</v>
      </c>
      <c r="F86" s="305">
        <v>0</v>
      </c>
      <c r="G86" s="305"/>
      <c r="H86" s="305"/>
      <c r="I86" s="305"/>
      <c r="J86" s="305"/>
      <c r="K86" s="305">
        <v>0</v>
      </c>
      <c r="L86" s="305">
        <v>0</v>
      </c>
      <c r="M86" s="305"/>
      <c r="N86" s="298"/>
      <c r="O86" s="334"/>
      <c r="P86" s="298"/>
      <c r="Q86" s="334"/>
      <c r="R86" s="298"/>
      <c r="S86" s="298"/>
    </row>
    <row r="87" spans="1:19" ht="55.5" customHeight="1" x14ac:dyDescent="0.25">
      <c r="A87" s="345" t="s">
        <v>267</v>
      </c>
      <c r="B87" s="302">
        <v>2710</v>
      </c>
      <c r="C87" s="302">
        <v>406</v>
      </c>
      <c r="D87" s="302"/>
      <c r="E87" s="305">
        <v>0</v>
      </c>
      <c r="F87" s="305"/>
      <c r="G87" s="305"/>
      <c r="H87" s="305"/>
      <c r="I87" s="305"/>
      <c r="J87" s="305"/>
      <c r="K87" s="305"/>
      <c r="L87" s="305"/>
      <c r="M87" s="305"/>
      <c r="N87" s="298"/>
      <c r="O87" s="334"/>
      <c r="P87" s="298"/>
      <c r="Q87" s="334"/>
      <c r="R87" s="298"/>
      <c r="S87" s="298"/>
    </row>
    <row r="88" spans="1:19" ht="31.2" x14ac:dyDescent="0.25">
      <c r="A88" s="303" t="s">
        <v>268</v>
      </c>
      <c r="B88" s="302">
        <v>2720</v>
      </c>
      <c r="C88" s="302">
        <v>407</v>
      </c>
      <c r="D88" s="302"/>
      <c r="E88" s="305">
        <v>0</v>
      </c>
      <c r="F88" s="305"/>
      <c r="G88" s="305"/>
      <c r="H88" s="305"/>
      <c r="I88" s="305"/>
      <c r="J88" s="305"/>
      <c r="K88" s="305"/>
      <c r="L88" s="305"/>
      <c r="M88" s="305"/>
      <c r="N88" s="298"/>
      <c r="O88" s="334"/>
      <c r="P88" s="298"/>
      <c r="Q88" s="334"/>
      <c r="R88" s="298"/>
      <c r="S88" s="298"/>
    </row>
    <row r="89" spans="1:19" s="317" customFormat="1" ht="30.75" customHeight="1" x14ac:dyDescent="0.25">
      <c r="A89" s="313" t="s">
        <v>269</v>
      </c>
      <c r="B89" s="322">
        <v>3000</v>
      </c>
      <c r="C89" s="322">
        <v>100</v>
      </c>
      <c r="D89" s="322"/>
      <c r="E89" s="324">
        <v>0</v>
      </c>
      <c r="F89" s="324">
        <v>0</v>
      </c>
      <c r="G89" s="324">
        <v>0</v>
      </c>
      <c r="H89" s="324">
        <v>0</v>
      </c>
      <c r="I89" s="324">
        <v>0</v>
      </c>
      <c r="J89" s="324">
        <v>0</v>
      </c>
      <c r="K89" s="324">
        <v>0</v>
      </c>
      <c r="L89" s="324">
        <v>0</v>
      </c>
      <c r="M89" s="324">
        <v>0</v>
      </c>
      <c r="N89" s="316"/>
      <c r="O89" s="325"/>
      <c r="P89" s="316"/>
      <c r="Q89" s="325"/>
      <c r="R89" s="316"/>
      <c r="S89" s="316"/>
    </row>
    <row r="90" spans="1:19" ht="44.25" customHeight="1" x14ac:dyDescent="0.25">
      <c r="A90" s="303" t="s">
        <v>270</v>
      </c>
      <c r="B90" s="302">
        <v>3010</v>
      </c>
      <c r="C90" s="302"/>
      <c r="D90" s="302"/>
      <c r="E90" s="305">
        <v>0</v>
      </c>
      <c r="F90" s="305"/>
      <c r="G90" s="305"/>
      <c r="H90" s="305"/>
      <c r="I90" s="305"/>
      <c r="J90" s="305"/>
      <c r="K90" s="305"/>
      <c r="L90" s="305"/>
      <c r="M90" s="305"/>
      <c r="N90" s="298"/>
      <c r="O90" s="334"/>
      <c r="P90" s="298"/>
      <c r="Q90" s="334"/>
      <c r="R90" s="298"/>
      <c r="S90" s="298"/>
    </row>
    <row r="91" spans="1:19" ht="43.5" customHeight="1" x14ac:dyDescent="0.25">
      <c r="A91" s="303" t="s">
        <v>271</v>
      </c>
      <c r="B91" s="302">
        <v>3020</v>
      </c>
      <c r="C91" s="302"/>
      <c r="D91" s="302"/>
      <c r="E91" s="305">
        <v>0</v>
      </c>
      <c r="F91" s="305"/>
      <c r="G91" s="305"/>
      <c r="H91" s="305"/>
      <c r="I91" s="305"/>
      <c r="J91" s="305"/>
      <c r="K91" s="305"/>
      <c r="L91" s="305"/>
      <c r="M91" s="305"/>
      <c r="N91" s="298"/>
      <c r="O91" s="334"/>
      <c r="P91" s="298"/>
      <c r="Q91" s="334"/>
      <c r="R91" s="298"/>
      <c r="S91" s="298"/>
    </row>
    <row r="92" spans="1:19" ht="15.75" customHeight="1" x14ac:dyDescent="0.25">
      <c r="A92" s="303" t="s">
        <v>272</v>
      </c>
      <c r="B92" s="302">
        <v>3030</v>
      </c>
      <c r="C92" s="302"/>
      <c r="D92" s="302"/>
      <c r="E92" s="305">
        <v>0</v>
      </c>
      <c r="F92" s="305"/>
      <c r="G92" s="305"/>
      <c r="H92" s="305"/>
      <c r="I92" s="305"/>
      <c r="J92" s="305"/>
      <c r="K92" s="305"/>
      <c r="L92" s="305"/>
      <c r="M92" s="305"/>
      <c r="N92" s="298"/>
      <c r="O92" s="334"/>
      <c r="P92" s="298"/>
      <c r="Q92" s="334"/>
      <c r="R92" s="298"/>
      <c r="S92" s="298"/>
    </row>
    <row r="93" spans="1:19" s="317" customFormat="1" ht="15.75" customHeight="1" x14ac:dyDescent="0.25">
      <c r="A93" s="313" t="s">
        <v>273</v>
      </c>
      <c r="B93" s="322">
        <v>4000</v>
      </c>
      <c r="C93" s="322" t="s">
        <v>190</v>
      </c>
      <c r="D93" s="322"/>
      <c r="E93" s="324">
        <v>0</v>
      </c>
      <c r="F93" s="324">
        <v>0</v>
      </c>
      <c r="G93" s="324">
        <v>0</v>
      </c>
      <c r="H93" s="324">
        <v>0</v>
      </c>
      <c r="I93" s="324">
        <v>0</v>
      </c>
      <c r="J93" s="324">
        <v>0</v>
      </c>
      <c r="K93" s="324">
        <v>0</v>
      </c>
      <c r="L93" s="324">
        <v>0</v>
      </c>
      <c r="M93" s="324">
        <v>0</v>
      </c>
      <c r="N93" s="316"/>
      <c r="O93" s="325"/>
      <c r="P93" s="316"/>
      <c r="Q93" s="325"/>
      <c r="R93" s="316"/>
      <c r="S93" s="316"/>
    </row>
    <row r="94" spans="1:19" ht="32.25" customHeight="1" x14ac:dyDescent="0.25">
      <c r="A94" s="303" t="s">
        <v>274</v>
      </c>
      <c r="B94" s="302">
        <v>4010</v>
      </c>
      <c r="C94" s="302">
        <v>610</v>
      </c>
      <c r="D94" s="302"/>
      <c r="E94" s="305">
        <v>0</v>
      </c>
      <c r="F94" s="305"/>
      <c r="G94" s="305"/>
      <c r="H94" s="305"/>
      <c r="I94" s="305"/>
      <c r="J94" s="305"/>
      <c r="K94" s="305"/>
      <c r="L94" s="305"/>
      <c r="M94" s="305"/>
      <c r="N94" s="298"/>
      <c r="O94" s="334"/>
      <c r="P94" s="298"/>
      <c r="Q94" s="334"/>
      <c r="R94" s="298"/>
      <c r="S94" s="298"/>
    </row>
    <row r="95" spans="1:19" ht="15.75" customHeight="1" x14ac:dyDescent="0.25">
      <c r="A95" s="303"/>
      <c r="B95" s="302"/>
      <c r="C95" s="302"/>
      <c r="D95" s="302"/>
      <c r="E95" s="305"/>
      <c r="F95" s="305"/>
      <c r="G95" s="305"/>
      <c r="H95" s="305"/>
      <c r="I95" s="305"/>
      <c r="J95" s="305"/>
      <c r="K95" s="305"/>
      <c r="L95" s="305"/>
      <c r="M95" s="305"/>
      <c r="N95" s="298"/>
      <c r="O95" s="334"/>
      <c r="P95" s="298"/>
      <c r="Q95" s="334"/>
      <c r="R95" s="298"/>
      <c r="S95" s="298"/>
    </row>
    <row r="96" spans="1:19" x14ac:dyDescent="0.25">
      <c r="E96" s="357"/>
    </row>
    <row r="97" spans="1:5" x14ac:dyDescent="0.25">
      <c r="A97" s="296" t="s">
        <v>429</v>
      </c>
      <c r="B97" s="509" t="s">
        <v>430</v>
      </c>
      <c r="C97" s="509"/>
      <c r="D97" s="509"/>
      <c r="E97" s="509"/>
    </row>
    <row r="98" spans="1:5" x14ac:dyDescent="0.25">
      <c r="A98" s="509"/>
      <c r="B98" s="509"/>
      <c r="C98" s="509"/>
      <c r="D98" s="376"/>
    </row>
    <row r="99" spans="1:5" x14ac:dyDescent="0.25">
      <c r="A99" s="509"/>
      <c r="B99" s="509"/>
      <c r="C99" s="509"/>
      <c r="D99" s="376"/>
    </row>
    <row r="100" spans="1:5" x14ac:dyDescent="0.25">
      <c r="A100" s="509"/>
      <c r="B100" s="509"/>
      <c r="C100" s="509"/>
      <c r="D100" s="376"/>
    </row>
    <row r="101" spans="1:5" x14ac:dyDescent="0.25">
      <c r="A101" s="509"/>
      <c r="B101" s="509"/>
      <c r="C101" s="509"/>
      <c r="D101" s="376"/>
    </row>
    <row r="102" spans="1:5" x14ac:dyDescent="0.25">
      <c r="A102" s="509"/>
      <c r="B102" s="509"/>
      <c r="C102" s="509"/>
      <c r="D102" s="376"/>
    </row>
    <row r="103" spans="1:5" x14ac:dyDescent="0.25">
      <c r="A103" s="526"/>
      <c r="B103" s="526"/>
      <c r="C103" s="526"/>
      <c r="D103" s="378"/>
    </row>
    <row r="104" spans="1:5" x14ac:dyDescent="0.25">
      <c r="A104" s="509"/>
      <c r="B104" s="509"/>
      <c r="C104" s="509"/>
      <c r="D104" s="376"/>
    </row>
    <row r="105" spans="1:5" x14ac:dyDescent="0.25">
      <c r="A105" s="526"/>
      <c r="B105" s="526"/>
      <c r="C105" s="526"/>
      <c r="D105" s="378"/>
    </row>
    <row r="106" spans="1:5" x14ac:dyDescent="0.25">
      <c r="A106" s="526"/>
      <c r="B106" s="526"/>
      <c r="C106" s="526"/>
      <c r="D106" s="378"/>
    </row>
    <row r="107" spans="1:5" x14ac:dyDescent="0.25">
      <c r="A107" s="509"/>
      <c r="B107" s="509"/>
      <c r="C107" s="509"/>
      <c r="D107" s="376"/>
    </row>
    <row r="108" spans="1:5" x14ac:dyDescent="0.25">
      <c r="A108" s="509"/>
      <c r="B108" s="509"/>
      <c r="C108" s="509"/>
      <c r="D108" s="376"/>
    </row>
    <row r="109" spans="1:5" x14ac:dyDescent="0.25">
      <c r="A109" s="526"/>
      <c r="B109" s="526"/>
      <c r="C109" s="526"/>
      <c r="D109" s="378"/>
    </row>
  </sheetData>
  <mergeCells count="22">
    <mergeCell ref="A109:C109"/>
    <mergeCell ref="A10:M10"/>
    <mergeCell ref="A100:C100"/>
    <mergeCell ref="A101:C101"/>
    <mergeCell ref="A102:C102"/>
    <mergeCell ref="A103:C103"/>
    <mergeCell ref="A104:C104"/>
    <mergeCell ref="A105:C105"/>
    <mergeCell ref="A99:C99"/>
    <mergeCell ref="A11:A14"/>
    <mergeCell ref="B11:B14"/>
    <mergeCell ref="C11:C14"/>
    <mergeCell ref="E11:M11"/>
    <mergeCell ref="A98:C98"/>
    <mergeCell ref="A106:C106"/>
    <mergeCell ref="A107:C107"/>
    <mergeCell ref="A108:C108"/>
    <mergeCell ref="E12:M12"/>
    <mergeCell ref="E13:M13"/>
    <mergeCell ref="N27:V27"/>
    <mergeCell ref="B97:E97"/>
    <mergeCell ref="D11:D14"/>
  </mergeCells>
  <printOptions horizontalCentered="1"/>
  <pageMargins left="0.19685039370078741" right="0.15748031496062992" top="0.23622047244094491" bottom="0.31496062992125984" header="0.27559055118110237" footer="0"/>
  <pageSetup paperSize="9" scale="45" fitToHeight="0" orientation="landscape" r:id="rId1"/>
  <headerFooter alignWithMargins="0"/>
  <rowBreaks count="2" manualBreakCount="2">
    <brk id="47" max="12" man="1"/>
    <brk id="7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24</vt:i4>
      </vt:variant>
      <vt:variant>
        <vt:lpstr>Именованные диапазоны</vt:lpstr>
      </vt:variant>
      <vt:variant>
        <vt:i4>32</vt:i4>
      </vt:variant>
    </vt:vector>
  </HeadingPairs>
  <TitlesOfParts>
    <vt:vector size="56" baseType="lpstr">
      <vt:lpstr>СВОД (2)</vt:lpstr>
      <vt:lpstr>СВОД</vt:lpstr>
      <vt:lpstr>музей 2020</vt:lpstr>
      <vt:lpstr>Родина 2020</vt:lpstr>
      <vt:lpstr>раздел 1 (2021)</vt:lpstr>
      <vt:lpstr>раздел 1 (2022)</vt:lpstr>
      <vt:lpstr>раздел 1 (2023)</vt:lpstr>
      <vt:lpstr>раздел 2 </vt:lpstr>
      <vt:lpstr>раздел 1( за пред.)</vt:lpstr>
      <vt:lpstr>ГЦК+Энергия 2020</vt:lpstr>
      <vt:lpstr>Юбилейный 2020</vt:lpstr>
      <vt:lpstr>Высоцкий 2020</vt:lpstr>
      <vt:lpstr>музей 2021</vt:lpstr>
      <vt:lpstr>Родина 2021</vt:lpstr>
      <vt:lpstr>ЦБС 2021</vt:lpstr>
      <vt:lpstr>ГЦК+Энергия 2021</vt:lpstr>
      <vt:lpstr>Юбилейный 2021</vt:lpstr>
      <vt:lpstr>Высоцкий 2021</vt:lpstr>
      <vt:lpstr>музей 2022</vt:lpstr>
      <vt:lpstr>Родина 2022</vt:lpstr>
      <vt:lpstr>ЦБС 2022</vt:lpstr>
      <vt:lpstr>ГЦК+Энергия 2022</vt:lpstr>
      <vt:lpstr>Юбилейный 2022</vt:lpstr>
      <vt:lpstr>Высоцкий 2022</vt:lpstr>
      <vt:lpstr>'ГЦК+Энергия 2020'!Заголовки_для_печати</vt:lpstr>
      <vt:lpstr>'ГЦК+Энергия 2021'!Заголовки_для_печати</vt:lpstr>
      <vt:lpstr>'ГЦК+Энергия 2022'!Заголовки_для_печати</vt:lpstr>
      <vt:lpstr>'раздел 1 (2021)'!Заголовки_для_печати</vt:lpstr>
      <vt:lpstr>'раздел 1 (2022)'!Заголовки_для_печати</vt:lpstr>
      <vt:lpstr>'раздел 1 (2023)'!Заголовки_для_печати</vt:lpstr>
      <vt:lpstr>'раздел 1( за пред.)'!Заголовки_для_печати</vt:lpstr>
      <vt:lpstr>'раздел 2 '!Заголовки_для_печати</vt:lpstr>
      <vt:lpstr>'Высоцкий 2020'!Область_печати</vt:lpstr>
      <vt:lpstr>'Высоцкий 2021'!Область_печати</vt:lpstr>
      <vt:lpstr>'Высоцкий 2022'!Область_печати</vt:lpstr>
      <vt:lpstr>'ГЦК+Энергия 2020'!Область_печати</vt:lpstr>
      <vt:lpstr>'ГЦК+Энергия 2021'!Область_печати</vt:lpstr>
      <vt:lpstr>'ГЦК+Энергия 2022'!Область_печати</vt:lpstr>
      <vt:lpstr>'музей 2020'!Область_печати</vt:lpstr>
      <vt:lpstr>'музей 2021'!Область_печати</vt:lpstr>
      <vt:lpstr>'музей 2022'!Область_печати</vt:lpstr>
      <vt:lpstr>'раздел 1 (2021)'!Область_печати</vt:lpstr>
      <vt:lpstr>'раздел 1 (2022)'!Область_печати</vt:lpstr>
      <vt:lpstr>'раздел 1 (2023)'!Область_печати</vt:lpstr>
      <vt:lpstr>'раздел 1( за пред.)'!Область_печати</vt:lpstr>
      <vt:lpstr>'раздел 2 '!Область_печати</vt:lpstr>
      <vt:lpstr>'Родина 2020'!Область_печати</vt:lpstr>
      <vt:lpstr>'Родина 2021'!Область_печати</vt:lpstr>
      <vt:lpstr>'Родина 2022'!Область_печати</vt:lpstr>
      <vt:lpstr>СВОД!Область_печати</vt:lpstr>
      <vt:lpstr>'СВОД (2)'!Область_печати</vt:lpstr>
      <vt:lpstr>'ЦБС 2021'!Область_печати</vt:lpstr>
      <vt:lpstr>'ЦБС 2022'!Область_печати</vt:lpstr>
      <vt:lpstr>'Юбилейный 2020'!Область_печати</vt:lpstr>
      <vt:lpstr>'Юбилейный 2021'!Область_печати</vt:lpstr>
      <vt:lpstr>'Юбилейный 2022'!Область_печати</vt:lpstr>
    </vt:vector>
  </TitlesOfParts>
  <Company>Work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андрей</dc:creator>
  <cp:lastModifiedBy>Ольга</cp:lastModifiedBy>
  <cp:lastPrinted>2022-01-17T03:46:57Z</cp:lastPrinted>
  <dcterms:created xsi:type="dcterms:W3CDTF">2011-02-11T02:31:04Z</dcterms:created>
  <dcterms:modified xsi:type="dcterms:W3CDTF">2022-12-30T05:16:36Z</dcterms:modified>
</cp:coreProperties>
</file>