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72.23.21.7\плановый отдел\Бюджет 2026\3. НДХШ на проверку\"/>
    </mc:Choice>
  </mc:AlternateContent>
  <bookViews>
    <workbookView xWindow="0" yWindow="0" windowWidth="28800" windowHeight="11508" tabRatio="914" firstSheet="5" activeTab="14"/>
  </bookViews>
  <sheets>
    <sheet name="СВОД (2)" sheetId="111" state="hidden" r:id="rId1"/>
    <sheet name="СВОД" sheetId="42" state="hidden" r:id="rId2"/>
    <sheet name="музей 2020" sheetId="80" state="hidden" r:id="rId3"/>
    <sheet name="Родина 2020" sheetId="81" state="hidden" r:id="rId4"/>
    <sheet name="ФХД_ Поступления и выплаты" sheetId="519" r:id="rId5"/>
    <sheet name="Поступления всего" sheetId="174" r:id="rId6"/>
    <sheet name="поступления 831, 841 26-28" sheetId="177" r:id="rId7"/>
    <sheet name="поступления 810 26-28" sheetId="535" r:id="rId8"/>
    <sheet name="концерты строка 1220 (131)+" sheetId="436" state="hidden" r:id="rId9"/>
    <sheet name="возмещ ком услстрока 1230(135)+" sheetId="180" state="hidden" r:id="rId10"/>
    <sheet name="постуления 820 26-28" sheetId="183" r:id="rId11"/>
    <sheet name="прочие поступ строка 1980 (510)" sheetId="185" r:id="rId12"/>
    <sheet name="КВР" sheetId="136" r:id="rId13"/>
    <sheet name="расходы 831, 841 26" sheetId="537" r:id="rId14"/>
    <sheet name="расходы 810 26" sheetId="538" r:id="rId15"/>
    <sheet name="расходы 820 26" sheetId="539" r:id="rId16"/>
    <sheet name="расходы 831, 841 27-28" sheetId="545" r:id="rId17"/>
    <sheet name="расходы 810 27-28" sheetId="546" r:id="rId18"/>
    <sheet name="расходы 820 27-28" sheetId="542" r:id="rId19"/>
    <sheet name="ГЦК+Энергия 2020" sheetId="84" state="hidden" r:id="rId20"/>
    <sheet name="Юбилейный 2020" sheetId="85" state="hidden" r:id="rId21"/>
    <sheet name="Высоцкий 2020" sheetId="86" state="hidden" r:id="rId22"/>
    <sheet name="музей 2021" sheetId="99" state="hidden" r:id="rId23"/>
    <sheet name="Родина 2021" sheetId="100" state="hidden" r:id="rId24"/>
    <sheet name="ЦБС 2021" sheetId="101" state="hidden" r:id="rId25"/>
    <sheet name="ГЦК+Энергия 2021" sheetId="102" state="hidden" r:id="rId26"/>
    <sheet name="Юбилейный 2021" sheetId="103" state="hidden" r:id="rId27"/>
    <sheet name="Высоцкий 2021" sheetId="104" state="hidden" r:id="rId28"/>
    <sheet name="музей 2022" sheetId="105" state="hidden" r:id="rId29"/>
    <sheet name="Родина 2022" sheetId="106" state="hidden" r:id="rId30"/>
    <sheet name="ЦБС 2022" sheetId="107" state="hidden" r:id="rId31"/>
    <sheet name="ГЦК+Энергия 2022" sheetId="108" state="hidden" r:id="rId32"/>
    <sheet name="Юбилейный 2022" sheetId="109" state="hidden" r:id="rId33"/>
    <sheet name="Высоцкий 2022" sheetId="110" state="hidden" r:id="rId34"/>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in2007" localSheetId="12">#REF!</definedName>
    <definedName name="_in2007" localSheetId="7">#REF!</definedName>
    <definedName name="_in2007" localSheetId="14">#REF!</definedName>
    <definedName name="_in2007" localSheetId="17">#REF!</definedName>
    <definedName name="_in2007" localSheetId="15">#REF!</definedName>
    <definedName name="_in2007" localSheetId="18">#REF!</definedName>
    <definedName name="_in2007" localSheetId="16">#REF!</definedName>
    <definedName name="_in2007">#REF!</definedName>
    <definedName name="_in2007_14" localSheetId="12">#REF!</definedName>
    <definedName name="_in2007_14" localSheetId="7">#REF!</definedName>
    <definedName name="_in2007_14" localSheetId="14">#REF!</definedName>
    <definedName name="_in2007_14" localSheetId="17">#REF!</definedName>
    <definedName name="_in2007_14" localSheetId="15">#REF!</definedName>
    <definedName name="_in2007_14" localSheetId="18">#REF!</definedName>
    <definedName name="_in2007_14" localSheetId="16">#REF!</definedName>
    <definedName name="_in2007_14">#REF!</definedName>
    <definedName name="_in2008" localSheetId="12">#REF!</definedName>
    <definedName name="_in2008" localSheetId="7">#REF!</definedName>
    <definedName name="_in2008" localSheetId="14">#REF!</definedName>
    <definedName name="_in2008" localSheetId="17">#REF!</definedName>
    <definedName name="_in2008" localSheetId="15">#REF!</definedName>
    <definedName name="_in2008" localSheetId="18">#REF!</definedName>
    <definedName name="_in2008" localSheetId="16">#REF!</definedName>
    <definedName name="_in2008">#REF!</definedName>
    <definedName name="_in2008_14" localSheetId="12">#REF!</definedName>
    <definedName name="_in2008_14" localSheetId="7">#REF!</definedName>
    <definedName name="_in2008_14" localSheetId="14">#REF!</definedName>
    <definedName name="_in2008_14" localSheetId="17">#REF!</definedName>
    <definedName name="_in2008_14" localSheetId="15">#REF!</definedName>
    <definedName name="_in2008_14" localSheetId="18">#REF!</definedName>
    <definedName name="_in2008_14" localSheetId="16">#REF!</definedName>
    <definedName name="_in2008_14">#REF!</definedName>
    <definedName name="_in2009" localSheetId="12">#REF!</definedName>
    <definedName name="_in2009" localSheetId="7">#REF!</definedName>
    <definedName name="_in2009" localSheetId="14">#REF!</definedName>
    <definedName name="_in2009" localSheetId="17">#REF!</definedName>
    <definedName name="_in2009" localSheetId="15">#REF!</definedName>
    <definedName name="_in2009" localSheetId="18">#REF!</definedName>
    <definedName name="_in2009" localSheetId="16">#REF!</definedName>
    <definedName name="_in2009">#REF!</definedName>
    <definedName name="_in2009_14" localSheetId="12">#REF!</definedName>
    <definedName name="_in2009_14" localSheetId="7">#REF!</definedName>
    <definedName name="_in2009_14" localSheetId="14">#REF!</definedName>
    <definedName name="_in2009_14" localSheetId="17">#REF!</definedName>
    <definedName name="_in2009_14" localSheetId="15">#REF!</definedName>
    <definedName name="_in2009_14" localSheetId="18">#REF!</definedName>
    <definedName name="_in2009_14" localSheetId="16">#REF!</definedName>
    <definedName name="_in2009_14">#REF!</definedName>
    <definedName name="_in2010" localSheetId="12">#REF!</definedName>
    <definedName name="_in2010" localSheetId="7">#REF!</definedName>
    <definedName name="_in2010" localSheetId="14">#REF!</definedName>
    <definedName name="_in2010" localSheetId="17">#REF!</definedName>
    <definedName name="_in2010" localSheetId="15">#REF!</definedName>
    <definedName name="_in2010" localSheetId="18">#REF!</definedName>
    <definedName name="_in2010" localSheetId="16">#REF!</definedName>
    <definedName name="_in2010">#REF!</definedName>
    <definedName name="_in2010_14" localSheetId="12">#REF!</definedName>
    <definedName name="_in2010_14" localSheetId="7">#REF!</definedName>
    <definedName name="_in2010_14" localSheetId="14">#REF!</definedName>
    <definedName name="_in2010_14" localSheetId="17">#REF!</definedName>
    <definedName name="_in2010_14" localSheetId="15">#REF!</definedName>
    <definedName name="_in2010_14" localSheetId="18">#REF!</definedName>
    <definedName name="_in2010_14" localSheetId="16">#REF!</definedName>
    <definedName name="_in2010_14">#REF!</definedName>
    <definedName name="_in2011" localSheetId="12">#REF!</definedName>
    <definedName name="_in2011" localSheetId="7">#REF!</definedName>
    <definedName name="_in2011" localSheetId="14">#REF!</definedName>
    <definedName name="_in2011" localSheetId="17">#REF!</definedName>
    <definedName name="_in2011" localSheetId="15">#REF!</definedName>
    <definedName name="_in2011" localSheetId="18">#REF!</definedName>
    <definedName name="_in2011" localSheetId="16">#REF!</definedName>
    <definedName name="_in2011">#REF!</definedName>
    <definedName name="_in2011_14" localSheetId="12">#REF!</definedName>
    <definedName name="_in2011_14" localSheetId="7">#REF!</definedName>
    <definedName name="_in2011_14" localSheetId="14">#REF!</definedName>
    <definedName name="_in2011_14" localSheetId="17">#REF!</definedName>
    <definedName name="_in2011_14" localSheetId="15">#REF!</definedName>
    <definedName name="_in2011_14" localSheetId="18">#REF!</definedName>
    <definedName name="_in2011_14" localSheetId="16">#REF!</definedName>
    <definedName name="_in2011_14">#REF!</definedName>
    <definedName name="_in2012" localSheetId="12">#REF!</definedName>
    <definedName name="_in2012" localSheetId="7">#REF!</definedName>
    <definedName name="_in2012" localSheetId="14">#REF!</definedName>
    <definedName name="_in2012" localSheetId="17">#REF!</definedName>
    <definedName name="_in2012" localSheetId="15">#REF!</definedName>
    <definedName name="_in2012" localSheetId="18">#REF!</definedName>
    <definedName name="_in2012" localSheetId="16">#REF!</definedName>
    <definedName name="_in2012">#REF!</definedName>
    <definedName name="_in2012_14" localSheetId="12">#REF!</definedName>
    <definedName name="_in2012_14" localSheetId="7">#REF!</definedName>
    <definedName name="_in2012_14" localSheetId="14">#REF!</definedName>
    <definedName name="_in2012_14" localSheetId="17">#REF!</definedName>
    <definedName name="_in2012_14" localSheetId="15">#REF!</definedName>
    <definedName name="_in2012_14" localSheetId="18">#REF!</definedName>
    <definedName name="_in2012_14" localSheetId="16">#REF!</definedName>
    <definedName name="_in2012_14">#REF!</definedName>
    <definedName name="_in2013" localSheetId="12">#REF!</definedName>
    <definedName name="_in2013" localSheetId="7">#REF!</definedName>
    <definedName name="_in2013" localSheetId="14">#REF!</definedName>
    <definedName name="_in2013" localSheetId="17">#REF!</definedName>
    <definedName name="_in2013" localSheetId="15">#REF!</definedName>
    <definedName name="_in2013" localSheetId="18">#REF!</definedName>
    <definedName name="_in2013" localSheetId="16">#REF!</definedName>
    <definedName name="_in2013">#REF!</definedName>
    <definedName name="_in2013_14" localSheetId="12">#REF!</definedName>
    <definedName name="_in2013_14" localSheetId="7">#REF!</definedName>
    <definedName name="_in2013_14" localSheetId="14">#REF!</definedName>
    <definedName name="_in2013_14" localSheetId="17">#REF!</definedName>
    <definedName name="_in2013_14" localSheetId="15">#REF!</definedName>
    <definedName name="_in2013_14" localSheetId="18">#REF!</definedName>
    <definedName name="_in2013_14" localSheetId="16">#REF!</definedName>
    <definedName name="_in2013_14">#REF!</definedName>
    <definedName name="_in2014" localSheetId="12">#REF!</definedName>
    <definedName name="_in2014" localSheetId="7">#REF!</definedName>
    <definedName name="_in2014" localSheetId="14">#REF!</definedName>
    <definedName name="_in2014" localSheetId="17">#REF!</definedName>
    <definedName name="_in2014" localSheetId="15">#REF!</definedName>
    <definedName name="_in2014" localSheetId="18">#REF!</definedName>
    <definedName name="_in2014" localSheetId="16">#REF!</definedName>
    <definedName name="_in2014">#REF!</definedName>
    <definedName name="_in2014_14" localSheetId="12">#REF!</definedName>
    <definedName name="_in2014_14" localSheetId="7">#REF!</definedName>
    <definedName name="_in2014_14" localSheetId="14">#REF!</definedName>
    <definedName name="_in2014_14" localSheetId="17">#REF!</definedName>
    <definedName name="_in2014_14" localSheetId="15">#REF!</definedName>
    <definedName name="_in2014_14" localSheetId="18">#REF!</definedName>
    <definedName name="_in2014_14" localSheetId="16">#REF!</definedName>
    <definedName name="_in2014_14">#REF!</definedName>
    <definedName name="_in2015" localSheetId="12">#REF!</definedName>
    <definedName name="_in2015" localSheetId="7">#REF!</definedName>
    <definedName name="_in2015" localSheetId="14">#REF!</definedName>
    <definedName name="_in2015" localSheetId="17">#REF!</definedName>
    <definedName name="_in2015" localSheetId="15">#REF!</definedName>
    <definedName name="_in2015" localSheetId="18">#REF!</definedName>
    <definedName name="_in2015" localSheetId="16">#REF!</definedName>
    <definedName name="_in2015">#REF!</definedName>
    <definedName name="_in2015_14" localSheetId="12">#REF!</definedName>
    <definedName name="_in2015_14" localSheetId="7">#REF!</definedName>
    <definedName name="_in2015_14" localSheetId="14">#REF!</definedName>
    <definedName name="_in2015_14" localSheetId="17">#REF!</definedName>
    <definedName name="_in2015_14" localSheetId="15">#REF!</definedName>
    <definedName name="_in2015_14" localSheetId="18">#REF!</definedName>
    <definedName name="_in2015_14" localSheetId="16">#REF!</definedName>
    <definedName name="_in2015_14">#REF!</definedName>
    <definedName name="_inf2007" localSheetId="12">#REF!</definedName>
    <definedName name="_inf2007" localSheetId="7">#REF!</definedName>
    <definedName name="_inf2007" localSheetId="14">#REF!</definedName>
    <definedName name="_inf2007" localSheetId="17">#REF!</definedName>
    <definedName name="_inf2007" localSheetId="15">#REF!</definedName>
    <definedName name="_inf2007" localSheetId="18">#REF!</definedName>
    <definedName name="_inf2007" localSheetId="16">#REF!</definedName>
    <definedName name="_inf2007">#REF!</definedName>
    <definedName name="_inf2007_14" localSheetId="12">#REF!</definedName>
    <definedName name="_inf2007_14" localSheetId="7">#REF!</definedName>
    <definedName name="_inf2007_14" localSheetId="14">#REF!</definedName>
    <definedName name="_inf2007_14" localSheetId="17">#REF!</definedName>
    <definedName name="_inf2007_14" localSheetId="15">#REF!</definedName>
    <definedName name="_inf2007_14" localSheetId="18">#REF!</definedName>
    <definedName name="_inf2007_14" localSheetId="16">#REF!</definedName>
    <definedName name="_inf2007_14">#REF!</definedName>
    <definedName name="_inf2008" localSheetId="12">#REF!</definedName>
    <definedName name="_inf2008" localSheetId="7">#REF!</definedName>
    <definedName name="_inf2008" localSheetId="14">#REF!</definedName>
    <definedName name="_inf2008" localSheetId="17">#REF!</definedName>
    <definedName name="_inf2008" localSheetId="15">#REF!</definedName>
    <definedName name="_inf2008" localSheetId="18">#REF!</definedName>
    <definedName name="_inf2008" localSheetId="16">#REF!</definedName>
    <definedName name="_inf2008">#REF!</definedName>
    <definedName name="_inf2008_14" localSheetId="12">#REF!</definedName>
    <definedName name="_inf2008_14" localSheetId="7">#REF!</definedName>
    <definedName name="_inf2008_14" localSheetId="14">#REF!</definedName>
    <definedName name="_inf2008_14" localSheetId="17">#REF!</definedName>
    <definedName name="_inf2008_14" localSheetId="15">#REF!</definedName>
    <definedName name="_inf2008_14" localSheetId="18">#REF!</definedName>
    <definedName name="_inf2008_14" localSheetId="16">#REF!</definedName>
    <definedName name="_inf2008_14">#REF!</definedName>
    <definedName name="_inf2009" localSheetId="12">#REF!</definedName>
    <definedName name="_inf2009" localSheetId="7">#REF!</definedName>
    <definedName name="_inf2009" localSheetId="14">#REF!</definedName>
    <definedName name="_inf2009" localSheetId="17">#REF!</definedName>
    <definedName name="_inf2009" localSheetId="15">#REF!</definedName>
    <definedName name="_inf2009" localSheetId="18">#REF!</definedName>
    <definedName name="_inf2009" localSheetId="16">#REF!</definedName>
    <definedName name="_inf2009">#REF!</definedName>
    <definedName name="_inf2009_14" localSheetId="12">#REF!</definedName>
    <definedName name="_inf2009_14" localSheetId="7">#REF!</definedName>
    <definedName name="_inf2009_14" localSheetId="14">#REF!</definedName>
    <definedName name="_inf2009_14" localSheetId="17">#REF!</definedName>
    <definedName name="_inf2009_14" localSheetId="15">#REF!</definedName>
    <definedName name="_inf2009_14" localSheetId="18">#REF!</definedName>
    <definedName name="_inf2009_14" localSheetId="16">#REF!</definedName>
    <definedName name="_inf2009_14">#REF!</definedName>
    <definedName name="_inf2010" localSheetId="12">#REF!</definedName>
    <definedName name="_inf2010" localSheetId="7">#REF!</definedName>
    <definedName name="_inf2010" localSheetId="14">#REF!</definedName>
    <definedName name="_inf2010" localSheetId="17">#REF!</definedName>
    <definedName name="_inf2010" localSheetId="15">#REF!</definedName>
    <definedName name="_inf2010" localSheetId="18">#REF!</definedName>
    <definedName name="_inf2010" localSheetId="16">#REF!</definedName>
    <definedName name="_inf2010">#REF!</definedName>
    <definedName name="_inf2010_14" localSheetId="12">#REF!</definedName>
    <definedName name="_inf2010_14" localSheetId="7">#REF!</definedName>
    <definedName name="_inf2010_14" localSheetId="14">#REF!</definedName>
    <definedName name="_inf2010_14" localSheetId="17">#REF!</definedName>
    <definedName name="_inf2010_14" localSheetId="15">#REF!</definedName>
    <definedName name="_inf2010_14" localSheetId="18">#REF!</definedName>
    <definedName name="_inf2010_14" localSheetId="16">#REF!</definedName>
    <definedName name="_inf2010_14">#REF!</definedName>
    <definedName name="_inf2011" localSheetId="12">#REF!</definedName>
    <definedName name="_inf2011" localSheetId="7">#REF!</definedName>
    <definedName name="_inf2011" localSheetId="14">#REF!</definedName>
    <definedName name="_inf2011" localSheetId="17">#REF!</definedName>
    <definedName name="_inf2011" localSheetId="15">#REF!</definedName>
    <definedName name="_inf2011" localSheetId="18">#REF!</definedName>
    <definedName name="_inf2011" localSheetId="16">#REF!</definedName>
    <definedName name="_inf2011">#REF!</definedName>
    <definedName name="_inf2011_14" localSheetId="12">#REF!</definedName>
    <definedName name="_inf2011_14" localSheetId="7">#REF!</definedName>
    <definedName name="_inf2011_14" localSheetId="14">#REF!</definedName>
    <definedName name="_inf2011_14" localSheetId="17">#REF!</definedName>
    <definedName name="_inf2011_14" localSheetId="15">#REF!</definedName>
    <definedName name="_inf2011_14" localSheetId="18">#REF!</definedName>
    <definedName name="_inf2011_14" localSheetId="16">#REF!</definedName>
    <definedName name="_inf2011_14">#REF!</definedName>
    <definedName name="_inf2012" localSheetId="12">#REF!</definedName>
    <definedName name="_inf2012" localSheetId="7">#REF!</definedName>
    <definedName name="_inf2012" localSheetId="14">#REF!</definedName>
    <definedName name="_inf2012" localSheetId="17">#REF!</definedName>
    <definedName name="_inf2012" localSheetId="15">#REF!</definedName>
    <definedName name="_inf2012" localSheetId="18">#REF!</definedName>
    <definedName name="_inf2012" localSheetId="16">#REF!</definedName>
    <definedName name="_inf2012">#REF!</definedName>
    <definedName name="_inf2012_14" localSheetId="12">#REF!</definedName>
    <definedName name="_inf2012_14" localSheetId="7">#REF!</definedName>
    <definedName name="_inf2012_14" localSheetId="14">#REF!</definedName>
    <definedName name="_inf2012_14" localSheetId="17">#REF!</definedName>
    <definedName name="_inf2012_14" localSheetId="15">#REF!</definedName>
    <definedName name="_inf2012_14" localSheetId="18">#REF!</definedName>
    <definedName name="_inf2012_14" localSheetId="16">#REF!</definedName>
    <definedName name="_inf2012_14">#REF!</definedName>
    <definedName name="_inf2013" localSheetId="12">#REF!</definedName>
    <definedName name="_inf2013" localSheetId="7">#REF!</definedName>
    <definedName name="_inf2013" localSheetId="14">#REF!</definedName>
    <definedName name="_inf2013" localSheetId="17">#REF!</definedName>
    <definedName name="_inf2013" localSheetId="15">#REF!</definedName>
    <definedName name="_inf2013" localSheetId="18">#REF!</definedName>
    <definedName name="_inf2013" localSheetId="16">#REF!</definedName>
    <definedName name="_inf2013">#REF!</definedName>
    <definedName name="_inf2013_14" localSheetId="12">#REF!</definedName>
    <definedName name="_inf2013_14" localSheetId="7">#REF!</definedName>
    <definedName name="_inf2013_14" localSheetId="14">#REF!</definedName>
    <definedName name="_inf2013_14" localSheetId="17">#REF!</definedName>
    <definedName name="_inf2013_14" localSheetId="15">#REF!</definedName>
    <definedName name="_inf2013_14" localSheetId="18">#REF!</definedName>
    <definedName name="_inf2013_14" localSheetId="16">#REF!</definedName>
    <definedName name="_inf2013_14">#REF!</definedName>
    <definedName name="_inf20131" localSheetId="12">#REF!</definedName>
    <definedName name="_inf20131" localSheetId="7">#REF!</definedName>
    <definedName name="_inf20131" localSheetId="14">#REF!</definedName>
    <definedName name="_inf20131" localSheetId="17">#REF!</definedName>
    <definedName name="_inf20131" localSheetId="15">#REF!</definedName>
    <definedName name="_inf20131" localSheetId="18">#REF!</definedName>
    <definedName name="_inf20131" localSheetId="16">#REF!</definedName>
    <definedName name="_inf20131">#REF!</definedName>
    <definedName name="_inf2014" localSheetId="12">#REF!</definedName>
    <definedName name="_inf2014" localSheetId="7">#REF!</definedName>
    <definedName name="_inf2014" localSheetId="14">#REF!</definedName>
    <definedName name="_inf2014" localSheetId="17">#REF!</definedName>
    <definedName name="_inf2014" localSheetId="15">#REF!</definedName>
    <definedName name="_inf2014" localSheetId="18">#REF!</definedName>
    <definedName name="_inf2014" localSheetId="16">#REF!</definedName>
    <definedName name="_inf2014">#REF!</definedName>
    <definedName name="_inf2014_14" localSheetId="12">#REF!</definedName>
    <definedName name="_inf2014_14" localSheetId="7">#REF!</definedName>
    <definedName name="_inf2014_14" localSheetId="14">#REF!</definedName>
    <definedName name="_inf2014_14" localSheetId="17">#REF!</definedName>
    <definedName name="_inf2014_14" localSheetId="15">#REF!</definedName>
    <definedName name="_inf2014_14" localSheetId="18">#REF!</definedName>
    <definedName name="_inf2014_14" localSheetId="16">#REF!</definedName>
    <definedName name="_inf2014_14">#REF!</definedName>
    <definedName name="_inf2015" localSheetId="12">#REF!</definedName>
    <definedName name="_inf2015" localSheetId="7">#REF!</definedName>
    <definedName name="_inf2015" localSheetId="14">#REF!</definedName>
    <definedName name="_inf2015" localSheetId="17">#REF!</definedName>
    <definedName name="_inf2015" localSheetId="15">#REF!</definedName>
    <definedName name="_inf2015" localSheetId="18">#REF!</definedName>
    <definedName name="_inf2015" localSheetId="16">#REF!</definedName>
    <definedName name="_inf2015">#REF!</definedName>
    <definedName name="_inf2015_" localSheetId="12">#REF!</definedName>
    <definedName name="_inf2015_" localSheetId="7">#REF!</definedName>
    <definedName name="_inf2015_" localSheetId="14">#REF!</definedName>
    <definedName name="_inf2015_" localSheetId="17">#REF!</definedName>
    <definedName name="_inf2015_" localSheetId="15">#REF!</definedName>
    <definedName name="_inf2015_" localSheetId="18">#REF!</definedName>
    <definedName name="_inf2015_" localSheetId="16">#REF!</definedName>
    <definedName name="_inf2015_">#REF!</definedName>
    <definedName name="_inf2015_14" localSheetId="12">#REF!</definedName>
    <definedName name="_inf2015_14" localSheetId="7">#REF!</definedName>
    <definedName name="_inf2015_14" localSheetId="14">#REF!</definedName>
    <definedName name="_inf2015_14" localSheetId="17">#REF!</definedName>
    <definedName name="_inf2015_14" localSheetId="15">#REF!</definedName>
    <definedName name="_inf2015_14" localSheetId="18">#REF!</definedName>
    <definedName name="_inf2015_14" localSheetId="16">#REF!</definedName>
    <definedName name="_inf2015_14">#REF!</definedName>
    <definedName name="_inf2016" localSheetId="12">#REF!</definedName>
    <definedName name="_inf2016" localSheetId="7">#REF!</definedName>
    <definedName name="_inf2016" localSheetId="14">#REF!</definedName>
    <definedName name="_inf2016" localSheetId="17">#REF!</definedName>
    <definedName name="_inf2016" localSheetId="15">#REF!</definedName>
    <definedName name="_inf2016" localSheetId="18">#REF!</definedName>
    <definedName name="_inf2016" localSheetId="16">#REF!</definedName>
    <definedName name="_inf2016">#REF!</definedName>
    <definedName name="_mm1" localSheetId="12">[1]ПРОГНОЗ_1!#REF!</definedName>
    <definedName name="_mm1" localSheetId="14">[1]ПРОГНОЗ_1!#REF!</definedName>
    <definedName name="_mm1" localSheetId="17">[1]ПРОГНОЗ_1!#REF!</definedName>
    <definedName name="_mm1" localSheetId="15">[1]ПРОГНОЗ_1!#REF!</definedName>
    <definedName name="_mm1" localSheetId="18">[1]ПРОГНОЗ_1!#REF!</definedName>
    <definedName name="_mm1" localSheetId="16">[1]ПРОГНОЗ_1!#REF!</definedName>
    <definedName name="_mm1">[1]ПРОГНОЗ_1!#REF!</definedName>
    <definedName name="_mm1_14" localSheetId="12">[1]ПРОГНОЗ_1!#REF!</definedName>
    <definedName name="_mm1_14" localSheetId="14">[1]ПРОГНОЗ_1!#REF!</definedName>
    <definedName name="_mm1_14" localSheetId="17">[1]ПРОГНОЗ_1!#REF!</definedName>
    <definedName name="_mm1_14" localSheetId="15">[1]ПРОГНОЗ_1!#REF!</definedName>
    <definedName name="_mm1_14" localSheetId="18">[1]ПРОГНОЗ_1!#REF!</definedName>
    <definedName name="_mm1_14" localSheetId="16">[1]ПРОГНОЗ_1!#REF!</definedName>
    <definedName name="_mm1_14">[1]ПРОГНОЗ_1!#REF!</definedName>
    <definedName name="_xlnm._FilterDatabase" localSheetId="21" hidden="1">'Высоцкий 2020'!$A$8:$AS$28</definedName>
    <definedName name="_xlnm._FilterDatabase" localSheetId="27" hidden="1">'Высоцкий 2021'!$A$8:$AS$28</definedName>
    <definedName name="_xlnm._FilterDatabase" localSheetId="33" hidden="1">'Высоцкий 2022'!$A$8:$AS$28</definedName>
    <definedName name="_xlnm._FilterDatabase" localSheetId="19" hidden="1">'ГЦК+Энергия 2020'!$A$8:$AS$57</definedName>
    <definedName name="_xlnm._FilterDatabase" localSheetId="25" hidden="1">'ГЦК+Энергия 2021'!$A$8:$AS$57</definedName>
    <definedName name="_xlnm._FilterDatabase" localSheetId="31" hidden="1">'ГЦК+Энергия 2022'!$A$8:$AS$57</definedName>
    <definedName name="_xlnm._FilterDatabase" localSheetId="8" hidden="1">'концерты строка 1220 (131)+'!$A$5:$H$6</definedName>
    <definedName name="_xlnm._FilterDatabase" localSheetId="2" hidden="1">'музей 2020'!$A$8:$AP$30</definedName>
    <definedName name="_xlnm._FilterDatabase" localSheetId="22" hidden="1">'музей 2021'!$A$8:$AP$30</definedName>
    <definedName name="_xlnm._FilterDatabase" localSheetId="28" hidden="1">'музей 2022'!$A$8:$AP$30</definedName>
    <definedName name="_xlnm._FilterDatabase" localSheetId="14" hidden="1">'расходы 810 26'!$A$7:$AA$71</definedName>
    <definedName name="_xlnm._FilterDatabase" localSheetId="3" hidden="1">'Родина 2020'!$A$8:$AS$8</definedName>
    <definedName name="_xlnm._FilterDatabase" localSheetId="23" hidden="1">'Родина 2021'!$A$8:$AS$8</definedName>
    <definedName name="_xlnm._FilterDatabase" localSheetId="29" hidden="1">'Родина 2022'!$A$8:$AS$8</definedName>
    <definedName name="_xlnm._FilterDatabase" localSheetId="24" hidden="1">'ЦБС 2021'!$A$8:$AS$24</definedName>
    <definedName name="_xlnm._FilterDatabase" localSheetId="30" hidden="1">'ЦБС 2022'!$A$8:$AS$24</definedName>
    <definedName name="_xlnm._FilterDatabase" localSheetId="20" hidden="1">'Юбилейный 2020'!$A$8:$AS$25</definedName>
    <definedName name="_xlnm._FilterDatabase" localSheetId="26" hidden="1">'Юбилейный 2021'!$A$8:$AS$25</definedName>
    <definedName name="_xlnm._FilterDatabase" localSheetId="32" hidden="1">'Юбилейный 2022'!$A$8:$AS$25</definedName>
    <definedName name="ddd" localSheetId="12">[2]ПРОГНОЗ_1!#REF!</definedName>
    <definedName name="ddd" localSheetId="14">[2]ПРОГНОЗ_1!#REF!</definedName>
    <definedName name="ddd" localSheetId="17">[2]ПРОГНОЗ_1!#REF!</definedName>
    <definedName name="ddd" localSheetId="15">[2]ПРОГНОЗ_1!#REF!</definedName>
    <definedName name="ddd" localSheetId="18">[2]ПРОГНОЗ_1!#REF!</definedName>
    <definedName name="ddd" localSheetId="16">[2]ПРОГНОЗ_1!#REF!</definedName>
    <definedName name="ddd">[2]ПРОГНОЗ_1!#REF!</definedName>
    <definedName name="ddd_14" localSheetId="12">[2]ПРОГНОЗ_1!#REF!</definedName>
    <definedName name="ddd_14" localSheetId="14">[2]ПРОГНОЗ_1!#REF!</definedName>
    <definedName name="ddd_14" localSheetId="17">[2]ПРОГНОЗ_1!#REF!</definedName>
    <definedName name="ddd_14" localSheetId="15">[2]ПРОГНОЗ_1!#REF!</definedName>
    <definedName name="ddd_14" localSheetId="18">[2]ПРОГНОЗ_1!#REF!</definedName>
    <definedName name="ddd_14" localSheetId="16">[2]ПРОГНОЗ_1!#REF!</definedName>
    <definedName name="ddd_14">[2]ПРОГНОЗ_1!#REF!</definedName>
    <definedName name="Excel_BuiltIn__FilterDatabase_15" localSheetId="12">#REF!</definedName>
    <definedName name="Excel_BuiltIn__FilterDatabase_15" localSheetId="7">#REF!</definedName>
    <definedName name="Excel_BuiltIn__FilterDatabase_15" localSheetId="14">#REF!</definedName>
    <definedName name="Excel_BuiltIn__FilterDatabase_15" localSheetId="17">#REF!</definedName>
    <definedName name="Excel_BuiltIn__FilterDatabase_15" localSheetId="15">#REF!</definedName>
    <definedName name="Excel_BuiltIn__FilterDatabase_15" localSheetId="18">#REF!</definedName>
    <definedName name="Excel_BuiltIn__FilterDatabase_15" localSheetId="16">#REF!</definedName>
    <definedName name="Excel_BuiltIn__FilterDatabase_15">#REF!</definedName>
    <definedName name="ff" localSheetId="12">#REF!</definedName>
    <definedName name="ff" localSheetId="7">#REF!</definedName>
    <definedName name="ff" localSheetId="14">#REF!</definedName>
    <definedName name="ff" localSheetId="17">#REF!</definedName>
    <definedName name="ff" localSheetId="15">#REF!</definedName>
    <definedName name="ff" localSheetId="18">#REF!</definedName>
    <definedName name="ff" localSheetId="16">#REF!</definedName>
    <definedName name="ff">#REF!</definedName>
    <definedName name="ff_14" localSheetId="12">#REF!</definedName>
    <definedName name="ff_14" localSheetId="7">#REF!</definedName>
    <definedName name="ff_14" localSheetId="14">#REF!</definedName>
    <definedName name="ff_14" localSheetId="17">#REF!</definedName>
    <definedName name="ff_14" localSheetId="15">#REF!</definedName>
    <definedName name="ff_14" localSheetId="18">#REF!</definedName>
    <definedName name="ff_14" localSheetId="16">#REF!</definedName>
    <definedName name="ff_14">#REF!</definedName>
    <definedName name="fffff" localSheetId="12">'[3]Гр5(о)'!#REF!</definedName>
    <definedName name="fffff" localSheetId="14">'[3]Гр5(о)'!#REF!</definedName>
    <definedName name="fffff" localSheetId="17">'[3]Гр5(о)'!#REF!</definedName>
    <definedName name="fffff" localSheetId="15">'[3]Гр5(о)'!#REF!</definedName>
    <definedName name="fffff" localSheetId="18">'[3]Гр5(о)'!#REF!</definedName>
    <definedName name="fffff" localSheetId="16">'[3]Гр5(о)'!#REF!</definedName>
    <definedName name="fffff">'[3]Гр5(о)'!#REF!</definedName>
    <definedName name="fffff_14" localSheetId="12">'[3]Гр5(о)'!#REF!</definedName>
    <definedName name="fffff_14" localSheetId="14">'[3]Гр5(о)'!#REF!</definedName>
    <definedName name="fffff_14" localSheetId="17">'[3]Гр5(о)'!#REF!</definedName>
    <definedName name="fffff_14" localSheetId="15">'[3]Гр5(о)'!#REF!</definedName>
    <definedName name="fffff_14" localSheetId="18">'[3]Гр5(о)'!#REF!</definedName>
    <definedName name="fffff_14" localSheetId="16">'[3]Гр5(о)'!#REF!</definedName>
    <definedName name="fffff_14">'[3]Гр5(о)'!#REF!</definedName>
    <definedName name="gggg" localSheetId="12">#REF!</definedName>
    <definedName name="gggg" localSheetId="7">#REF!</definedName>
    <definedName name="gggg" localSheetId="14">#REF!</definedName>
    <definedName name="gggg" localSheetId="17">#REF!</definedName>
    <definedName name="gggg" localSheetId="15">#REF!</definedName>
    <definedName name="gggg" localSheetId="18">#REF!</definedName>
    <definedName name="gggg" localSheetId="16">#REF!</definedName>
    <definedName name="gggg">#REF!</definedName>
    <definedName name="gggg_14" localSheetId="12">#REF!</definedName>
    <definedName name="gggg_14" localSheetId="7">#REF!</definedName>
    <definedName name="gggg_14" localSheetId="14">#REF!</definedName>
    <definedName name="gggg_14" localSheetId="17">#REF!</definedName>
    <definedName name="gggg_14" localSheetId="15">#REF!</definedName>
    <definedName name="gggg_14" localSheetId="18">#REF!</definedName>
    <definedName name="gggg_14" localSheetId="16">#REF!</definedName>
    <definedName name="gggg_14">#REF!</definedName>
    <definedName name="IS_DOCUMENT" localSheetId="4">'ФХД_ Поступления и выплаты'!$A$117</definedName>
    <definedName name="jjjj" localSheetId="12">'[4]Гр5(о)'!#REF!</definedName>
    <definedName name="jjjj" localSheetId="14">'[4]Гр5(о)'!#REF!</definedName>
    <definedName name="jjjj" localSheetId="17">'[4]Гр5(о)'!#REF!</definedName>
    <definedName name="jjjj" localSheetId="15">'[4]Гр5(о)'!#REF!</definedName>
    <definedName name="jjjj" localSheetId="18">'[4]Гр5(о)'!#REF!</definedName>
    <definedName name="jjjj" localSheetId="16">'[4]Гр5(о)'!#REF!</definedName>
    <definedName name="jjjj">'[4]Гр5(о)'!#REF!</definedName>
    <definedName name="jjjj_14" localSheetId="12">'[4]Гр5(о)'!#REF!</definedName>
    <definedName name="jjjj_14" localSheetId="14">'[4]Гр5(о)'!#REF!</definedName>
    <definedName name="jjjj_14" localSheetId="17">'[4]Гр5(о)'!#REF!</definedName>
    <definedName name="jjjj_14" localSheetId="15">'[4]Гр5(о)'!#REF!</definedName>
    <definedName name="jjjj_14" localSheetId="18">'[4]Гр5(о)'!#REF!</definedName>
    <definedName name="jjjj_14" localSheetId="16">'[4]Гр5(о)'!#REF!</definedName>
    <definedName name="jjjj_14">'[4]Гр5(о)'!#REF!</definedName>
    <definedName name="XDO_?ACTDOMCODE?" localSheetId="12">#REF!</definedName>
    <definedName name="XDO_?ACTDOMCODE?" localSheetId="7">#REF!</definedName>
    <definedName name="XDO_?ACTDOMCODE?" localSheetId="14">#REF!</definedName>
    <definedName name="XDO_?ACTDOMCODE?" localSheetId="17">#REF!</definedName>
    <definedName name="XDO_?ACTDOMCODE?" localSheetId="15">#REF!</definedName>
    <definedName name="XDO_?ACTDOMCODE?" localSheetId="18">#REF!</definedName>
    <definedName name="XDO_?ACTDOMCODE?" localSheetId="16">#REF!</definedName>
    <definedName name="XDO_?ACTDOMCODE?">#REF!</definedName>
    <definedName name="XDO_?ACTDOMNAME?" localSheetId="12">#REF!</definedName>
    <definedName name="XDO_?ACTDOMNAME?" localSheetId="7">#REF!</definedName>
    <definedName name="XDO_?ACTDOMNAME?" localSheetId="14">#REF!</definedName>
    <definedName name="XDO_?ACTDOMNAME?" localSheetId="17">#REF!</definedName>
    <definedName name="XDO_?ACTDOMNAME?" localSheetId="15">#REF!</definedName>
    <definedName name="XDO_?ACTDOMNAME?" localSheetId="18">#REF!</definedName>
    <definedName name="XDO_?ACTDOMNAME?" localSheetId="16">#REF!</definedName>
    <definedName name="XDO_?ACTDOMNAME?">#REF!</definedName>
    <definedName name="XDO_?BELONG210FL?" localSheetId="12">#REF!</definedName>
    <definedName name="XDO_?BELONG210FL?" localSheetId="7">#REF!</definedName>
    <definedName name="XDO_?BELONG210FL?" localSheetId="14">#REF!</definedName>
    <definedName name="XDO_?BELONG210FL?" localSheetId="17">#REF!</definedName>
    <definedName name="XDO_?BELONG210FL?" localSheetId="15">#REF!</definedName>
    <definedName name="XDO_?BELONG210FL?" localSheetId="18">#REF!</definedName>
    <definedName name="XDO_?BELONG210FL?" localSheetId="16">#REF!</definedName>
    <definedName name="XDO_?BELONG210FL?">#REF!</definedName>
    <definedName name="XDO_?CSMCTGY_NAME?" localSheetId="12">#REF!</definedName>
    <definedName name="XDO_?CSMCTGY_NAME?" localSheetId="7">#REF!</definedName>
    <definedName name="XDO_?CSMCTGY_NAME?" localSheetId="14">#REF!</definedName>
    <definedName name="XDO_?CSMCTGY_NAME?" localSheetId="17">#REF!</definedName>
    <definedName name="XDO_?CSMCTGY_NAME?" localSheetId="15">#REF!</definedName>
    <definedName name="XDO_?CSMCTGY_NAME?" localSheetId="18">#REF!</definedName>
    <definedName name="XDO_?CSMCTGY_NAME?" localSheetId="16">#REF!</definedName>
    <definedName name="XDO_?CSMCTGY_NAME?">#REF!</definedName>
    <definedName name="XDO_?INSTKND_NAME?" localSheetId="12">#REF!</definedName>
    <definedName name="XDO_?INSTKND_NAME?" localSheetId="7">#REF!</definedName>
    <definedName name="XDO_?INSTKND_NAME?" localSheetId="14">#REF!</definedName>
    <definedName name="XDO_?INSTKND_NAME?" localSheetId="17">#REF!</definedName>
    <definedName name="XDO_?INSTKND_NAME?" localSheetId="15">#REF!</definedName>
    <definedName name="XDO_?INSTKND_NAME?" localSheetId="18">#REF!</definedName>
    <definedName name="XDO_?INSTKND_NAME?" localSheetId="16">#REF!</definedName>
    <definedName name="XDO_?INSTKND_NAME?">#REF!</definedName>
    <definedName name="XDO_?LGLACT_APPROVEDBY?" localSheetId="12">#REF!</definedName>
    <definedName name="XDO_?LGLACT_APPROVEDBY?" localSheetId="7">#REF!</definedName>
    <definedName name="XDO_?LGLACT_APPROVEDBY?" localSheetId="14">#REF!</definedName>
    <definedName name="XDO_?LGLACT_APPROVEDBY?" localSheetId="17">#REF!</definedName>
    <definedName name="XDO_?LGLACT_APPROVEDBY?" localSheetId="15">#REF!</definedName>
    <definedName name="XDO_?LGLACT_APPROVEDBY?" localSheetId="18">#REF!</definedName>
    <definedName name="XDO_?LGLACT_APPROVEDBY?" localSheetId="16">#REF!</definedName>
    <definedName name="XDO_?LGLACT_APPROVEDBY?">#REF!</definedName>
    <definedName name="XDO_?LGLACT_APPRVDAT?" localSheetId="12">#REF!</definedName>
    <definedName name="XDO_?LGLACT_APPRVDAT?" localSheetId="7">#REF!</definedName>
    <definedName name="XDO_?LGLACT_APPRVDAT?" localSheetId="14">#REF!</definedName>
    <definedName name="XDO_?LGLACT_APPRVDAT?" localSheetId="17">#REF!</definedName>
    <definedName name="XDO_?LGLACT_APPRVDAT?" localSheetId="15">#REF!</definedName>
    <definedName name="XDO_?LGLACT_APPRVDAT?" localSheetId="18">#REF!</definedName>
    <definedName name="XDO_?LGLACT_APPRVDAT?" localSheetId="16">#REF!</definedName>
    <definedName name="XDO_?LGLACT_APPRVDAT?">#REF!</definedName>
    <definedName name="XDO_?LGLACT_NAME?" localSheetId="12">#REF!</definedName>
    <definedName name="XDO_?LGLACT_NAME?" localSheetId="7">#REF!</definedName>
    <definedName name="XDO_?LGLACT_NAME?" localSheetId="14">#REF!</definedName>
    <definedName name="XDO_?LGLACT_NAME?" localSheetId="17">#REF!</definedName>
    <definedName name="XDO_?LGLACT_NAME?" localSheetId="15">#REF!</definedName>
    <definedName name="XDO_?LGLACT_NAME?" localSheetId="18">#REF!</definedName>
    <definedName name="XDO_?LGLACT_NAME?" localSheetId="16">#REF!</definedName>
    <definedName name="XDO_?LGLACT_NAME?">#REF!</definedName>
    <definedName name="XDO_?NAME_1?" localSheetId="12">#REF!</definedName>
    <definedName name="XDO_?NAME_1?" localSheetId="7">#REF!</definedName>
    <definedName name="XDO_?NAME_1?" localSheetId="14">#REF!</definedName>
    <definedName name="XDO_?NAME_1?" localSheetId="17">#REF!</definedName>
    <definedName name="XDO_?NAME_1?" localSheetId="15">#REF!</definedName>
    <definedName name="XDO_?NAME_1?" localSheetId="18">#REF!</definedName>
    <definedName name="XDO_?NAME_1?" localSheetId="16">#REF!</definedName>
    <definedName name="XDO_?NAME_1?">#REF!</definedName>
    <definedName name="XDO_?NAME_2?" localSheetId="12">#REF!</definedName>
    <definedName name="XDO_?NAME_2?" localSheetId="7">#REF!</definedName>
    <definedName name="XDO_?NAME_2?" localSheetId="14">#REF!</definedName>
    <definedName name="XDO_?NAME_2?" localSheetId="17">#REF!</definedName>
    <definedName name="XDO_?NAME_2?" localSheetId="15">#REF!</definedName>
    <definedName name="XDO_?NAME_2?" localSheetId="18">#REF!</definedName>
    <definedName name="XDO_?NAME_2?" localSheetId="16">#REF!</definedName>
    <definedName name="XDO_?NAME_2?">#REF!</definedName>
    <definedName name="XDO_?NAME_CODE?" localSheetId="12">#REF!</definedName>
    <definedName name="XDO_?NAME_CODE?" localSheetId="7">#REF!</definedName>
    <definedName name="XDO_?NAME_CODE?" localSheetId="14">#REF!</definedName>
    <definedName name="XDO_?NAME_CODE?" localSheetId="17">#REF!</definedName>
    <definedName name="XDO_?NAME_CODE?" localSheetId="15">#REF!</definedName>
    <definedName name="XDO_?NAME_CODE?" localSheetId="18">#REF!</definedName>
    <definedName name="XDO_?NAME_CODE?" localSheetId="16">#REF!</definedName>
    <definedName name="XDO_?NAME_CODE?">#REF!</definedName>
    <definedName name="XDO_?NAME_NAME?" localSheetId="12">#REF!</definedName>
    <definedName name="XDO_?NAME_NAME?" localSheetId="7">#REF!</definedName>
    <definedName name="XDO_?NAME_NAME?" localSheetId="14">#REF!</definedName>
    <definedName name="XDO_?NAME_NAME?" localSheetId="17">#REF!</definedName>
    <definedName name="XDO_?NAME_NAME?" localSheetId="15">#REF!</definedName>
    <definedName name="XDO_?NAME_NAME?" localSheetId="18">#REF!</definedName>
    <definedName name="XDO_?NAME_NAME?" localSheetId="16">#REF!</definedName>
    <definedName name="XDO_?NAME_NAME?">#REF!</definedName>
    <definedName name="XDO_?NCSRLYBELONG210FL?" localSheetId="12">#REF!</definedName>
    <definedName name="XDO_?NCSRLYBELONG210FL?" localSheetId="7">#REF!</definedName>
    <definedName name="XDO_?NCSRLYBELONG210FL?" localSheetId="14">#REF!</definedName>
    <definedName name="XDO_?NCSRLYBELONG210FL?" localSheetId="17">#REF!</definedName>
    <definedName name="XDO_?NCSRLYBELONG210FL?" localSheetId="15">#REF!</definedName>
    <definedName name="XDO_?NCSRLYBELONG210FL?" localSheetId="18">#REF!</definedName>
    <definedName name="XDO_?NCSRLYBELONG210FL?" localSheetId="16">#REF!</definedName>
    <definedName name="XDO_?NCSRLYBELONG210FL?">#REF!</definedName>
    <definedName name="XDO_?NPA_DESCRIPTIONS?" localSheetId="12">#REF!</definedName>
    <definedName name="XDO_?NPA_DESCRIPTIONS?" localSheetId="7">#REF!</definedName>
    <definedName name="XDO_?NPA_DESCRIPTIONS?" localSheetId="14">#REF!</definedName>
    <definedName name="XDO_?NPA_DESCRIPTIONS?" localSheetId="17">#REF!</definedName>
    <definedName name="XDO_?NPA_DESCRIPTIONS?" localSheetId="15">#REF!</definedName>
    <definedName name="XDO_?NPA_DESCRIPTIONS?" localSheetId="18">#REF!</definedName>
    <definedName name="XDO_?NPA_DESCRIPTIONS?" localSheetId="16">#REF!</definedName>
    <definedName name="XDO_?NPA_DESCRIPTIONS?">#REF!</definedName>
    <definedName name="XDO_?PBL_NAMES?" localSheetId="12">#REF!</definedName>
    <definedName name="XDO_?PBL_NAMES?" localSheetId="7">#REF!</definedName>
    <definedName name="XDO_?PBL_NAMES?" localSheetId="14">#REF!</definedName>
    <definedName name="XDO_?PBL_NAMES?" localSheetId="17">#REF!</definedName>
    <definedName name="XDO_?PBL_NAMES?" localSheetId="15">#REF!</definedName>
    <definedName name="XDO_?PBL_NAMES?" localSheetId="18">#REF!</definedName>
    <definedName name="XDO_?PBL_NAMES?" localSheetId="16">#REF!</definedName>
    <definedName name="XDO_?PBL_NAMES?">#REF!</definedName>
    <definedName name="XDO_?QI_NAME?" localSheetId="12">#REF!</definedName>
    <definedName name="XDO_?QI_NAME?" localSheetId="7">#REF!</definedName>
    <definedName name="XDO_?QI_NAME?" localSheetId="14">#REF!</definedName>
    <definedName name="XDO_?QI_NAME?" localSheetId="17">#REF!</definedName>
    <definedName name="XDO_?QI_NAME?" localSheetId="15">#REF!</definedName>
    <definedName name="XDO_?QI_NAME?" localSheetId="18">#REF!</definedName>
    <definedName name="XDO_?QI_NAME?" localSheetId="16">#REF!</definedName>
    <definedName name="XDO_?QI_NAME?">#REF!</definedName>
    <definedName name="XDO_?RCA_CODE?" localSheetId="12">#REF!</definedName>
    <definedName name="XDO_?RCA_CODE?" localSheetId="7">#REF!</definedName>
    <definedName name="XDO_?RCA_CODE?" localSheetId="14">#REF!</definedName>
    <definedName name="XDO_?RCA_CODE?" localSheetId="17">#REF!</definedName>
    <definedName name="XDO_?RCA_CODE?" localSheetId="15">#REF!</definedName>
    <definedName name="XDO_?RCA_CODE?" localSheetId="18">#REF!</definedName>
    <definedName name="XDO_?RCA_CODE?" localSheetId="16">#REF!</definedName>
    <definedName name="XDO_?RCA_CODE?">#REF!</definedName>
    <definedName name="XDO_?REGRNUMBER?" localSheetId="12">#REF!</definedName>
    <definedName name="XDO_?REGRNUMBER?" localSheetId="7">#REF!</definedName>
    <definedName name="XDO_?REGRNUMBER?" localSheetId="14">#REF!</definedName>
    <definedName name="XDO_?REGRNUMBER?" localSheetId="17">#REF!</definedName>
    <definedName name="XDO_?REGRNUMBER?" localSheetId="15">#REF!</definedName>
    <definedName name="XDO_?REGRNUMBER?" localSheetId="18">#REF!</definedName>
    <definedName name="XDO_?REGRNUMBER?" localSheetId="16">#REF!</definedName>
    <definedName name="XDO_?REGRNUMBER?">#REF!</definedName>
    <definedName name="XDO_?ROWNUMBER?" localSheetId="12">#REF!</definedName>
    <definedName name="XDO_?ROWNUMBER?" localSheetId="7">#REF!</definedName>
    <definedName name="XDO_?ROWNUMBER?" localSheetId="14">#REF!</definedName>
    <definedName name="XDO_?ROWNUMBER?" localSheetId="17">#REF!</definedName>
    <definedName name="XDO_?ROWNUMBER?" localSheetId="15">#REF!</definedName>
    <definedName name="XDO_?ROWNUMBER?" localSheetId="18">#REF!</definedName>
    <definedName name="XDO_?ROWNUMBER?" localSheetId="16">#REF!</definedName>
    <definedName name="XDO_?ROWNUMBER?">#REF!</definedName>
    <definedName name="XDO_?RUCLSPRECACS_CODE?" localSheetId="12">#REF!</definedName>
    <definedName name="XDO_?RUCLSPRECACS_CODE?" localSheetId="7">#REF!</definedName>
    <definedName name="XDO_?RUCLSPRECACS_CODE?" localSheetId="14">#REF!</definedName>
    <definedName name="XDO_?RUCLSPRECACS_CODE?" localSheetId="17">#REF!</definedName>
    <definedName name="XDO_?RUCLSPRECACS_CODE?" localSheetId="15">#REF!</definedName>
    <definedName name="XDO_?RUCLSPRECACS_CODE?" localSheetId="18">#REF!</definedName>
    <definedName name="XDO_?RUCLSPRECACS_CODE?" localSheetId="16">#REF!</definedName>
    <definedName name="XDO_?RUCLSPRECACS_CODE?">#REF!</definedName>
    <definedName name="XDO_?SC_NAME_1?" localSheetId="12">#REF!</definedName>
    <definedName name="XDO_?SC_NAME_1?" localSheetId="7">#REF!</definedName>
    <definedName name="XDO_?SC_NAME_1?" localSheetId="14">#REF!</definedName>
    <definedName name="XDO_?SC_NAME_1?" localSheetId="17">#REF!</definedName>
    <definedName name="XDO_?SC_NAME_1?" localSheetId="15">#REF!</definedName>
    <definedName name="XDO_?SC_NAME_1?" localSheetId="18">#REF!</definedName>
    <definedName name="XDO_?SC_NAME_1?" localSheetId="16">#REF!</definedName>
    <definedName name="XDO_?SC_NAME_1?">#REF!</definedName>
    <definedName name="XDO_?SC_NAME_2?" localSheetId="12">#REF!</definedName>
    <definedName name="XDO_?SC_NAME_2?" localSheetId="7">#REF!</definedName>
    <definedName name="XDO_?SC_NAME_2?" localSheetId="14">#REF!</definedName>
    <definedName name="XDO_?SC_NAME_2?" localSheetId="17">#REF!</definedName>
    <definedName name="XDO_?SC_NAME_2?" localSheetId="15">#REF!</definedName>
    <definedName name="XDO_?SC_NAME_2?" localSheetId="18">#REF!</definedName>
    <definedName name="XDO_?SC_NAME_2?" localSheetId="16">#REF!</definedName>
    <definedName name="XDO_?SC_NAME_2?">#REF!</definedName>
    <definedName name="XDO_?SC_NAME_3?" localSheetId="12">#REF!</definedName>
    <definedName name="XDO_?SC_NAME_3?" localSheetId="7">#REF!</definedName>
    <definedName name="XDO_?SC_NAME_3?" localSheetId="14">#REF!</definedName>
    <definedName name="XDO_?SC_NAME_3?" localSheetId="17">#REF!</definedName>
    <definedName name="XDO_?SC_NAME_3?" localSheetId="15">#REF!</definedName>
    <definedName name="XDO_?SC_NAME_3?" localSheetId="18">#REF!</definedName>
    <definedName name="XDO_?SC_NAME_3?" localSheetId="16">#REF!</definedName>
    <definedName name="XDO_?SC_NAME_3?">#REF!</definedName>
    <definedName name="XDO_?SVCKIND?" localSheetId="12">#REF!</definedName>
    <definedName name="XDO_?SVCKIND?" localSheetId="7">#REF!</definedName>
    <definedName name="XDO_?SVCKIND?" localSheetId="14">#REF!</definedName>
    <definedName name="XDO_?SVCKIND?" localSheetId="17">#REF!</definedName>
    <definedName name="XDO_?SVCKIND?" localSheetId="15">#REF!</definedName>
    <definedName name="XDO_?SVCKIND?" localSheetId="18">#REF!</definedName>
    <definedName name="XDO_?SVCKIND?" localSheetId="16">#REF!</definedName>
    <definedName name="XDO_?SVCKIND?">#REF!</definedName>
    <definedName name="XDO_?SVCPAID?" localSheetId="12">#REF!</definedName>
    <definedName name="XDO_?SVCPAID?" localSheetId="7">#REF!</definedName>
    <definedName name="XDO_?SVCPAID?" localSheetId="14">#REF!</definedName>
    <definedName name="XDO_?SVCPAID?" localSheetId="17">#REF!</definedName>
    <definedName name="XDO_?SVCPAID?" localSheetId="15">#REF!</definedName>
    <definedName name="XDO_?SVCPAID?" localSheetId="18">#REF!</definedName>
    <definedName name="XDO_?SVCPAID?" localSheetId="16">#REF!</definedName>
    <definedName name="XDO_?SVCPAID?">#REF!</definedName>
    <definedName name="XDO_?VOLIND_NAME?" localSheetId="12">#REF!</definedName>
    <definedName name="XDO_?VOLIND_NAME?" localSheetId="7">#REF!</definedName>
    <definedName name="XDO_?VOLIND_NAME?" localSheetId="14">#REF!</definedName>
    <definedName name="XDO_?VOLIND_NAME?" localSheetId="17">#REF!</definedName>
    <definedName name="XDO_?VOLIND_NAME?" localSheetId="15">#REF!</definedName>
    <definedName name="XDO_?VOLIND_NAME?" localSheetId="18">#REF!</definedName>
    <definedName name="XDO_?VOLIND_NAME?" localSheetId="16">#REF!</definedName>
    <definedName name="XDO_?VOLIND_NAME?">#REF!</definedName>
    <definedName name="XDO_GROUP_?HEADER?" localSheetId="12">#REF!</definedName>
    <definedName name="XDO_GROUP_?HEADER?" localSheetId="7">#REF!</definedName>
    <definedName name="XDO_GROUP_?HEADER?" localSheetId="14">#REF!</definedName>
    <definedName name="XDO_GROUP_?HEADER?" localSheetId="17">#REF!</definedName>
    <definedName name="XDO_GROUP_?HEADER?" localSheetId="15">#REF!</definedName>
    <definedName name="XDO_GROUP_?HEADER?" localSheetId="18">#REF!</definedName>
    <definedName name="XDO_GROUP_?HEADER?" localSheetId="16">#REF!</definedName>
    <definedName name="XDO_GROUP_?HEADER?">#REF!</definedName>
    <definedName name="XDO_GROUP_?SERVICE_LIST?" localSheetId="12">#REF!</definedName>
    <definedName name="XDO_GROUP_?SERVICE_LIST?" localSheetId="7">#REF!</definedName>
    <definedName name="XDO_GROUP_?SERVICE_LIST?" localSheetId="14">#REF!</definedName>
    <definedName name="XDO_GROUP_?SERVICE_LIST?" localSheetId="17">#REF!</definedName>
    <definedName name="XDO_GROUP_?SERVICE_LIST?" localSheetId="15">#REF!</definedName>
    <definedName name="XDO_GROUP_?SERVICE_LIST?" localSheetId="18">#REF!</definedName>
    <definedName name="XDO_GROUP_?SERVICE_LIST?" localSheetId="16">#REF!</definedName>
    <definedName name="XDO_GROUP_?SERVICE_LIST?">#REF!</definedName>
    <definedName name="а" localSheetId="7">#REF!</definedName>
    <definedName name="а" localSheetId="14">#REF!</definedName>
    <definedName name="а" localSheetId="17">#REF!</definedName>
    <definedName name="а" localSheetId="15">#REF!</definedName>
    <definedName name="а" localSheetId="18">#REF!</definedName>
    <definedName name="а" localSheetId="16">#REF!</definedName>
    <definedName name="а">#REF!</definedName>
    <definedName name="А1" localSheetId="21">#REF!</definedName>
    <definedName name="А1" localSheetId="27">#REF!</definedName>
    <definedName name="А1" localSheetId="33">#REF!</definedName>
    <definedName name="А1" localSheetId="19">#REF!</definedName>
    <definedName name="А1" localSheetId="25">#REF!</definedName>
    <definedName name="А1" localSheetId="31">#REF!</definedName>
    <definedName name="А1" localSheetId="12">#REF!</definedName>
    <definedName name="А1" localSheetId="2">#REF!</definedName>
    <definedName name="А1" localSheetId="22">#REF!</definedName>
    <definedName name="А1" localSheetId="28">#REF!</definedName>
    <definedName name="А1" localSheetId="7">#REF!</definedName>
    <definedName name="А1" localSheetId="14">#REF!</definedName>
    <definedName name="А1" localSheetId="17">#REF!</definedName>
    <definedName name="А1" localSheetId="15">#REF!</definedName>
    <definedName name="А1" localSheetId="18">#REF!</definedName>
    <definedName name="А1" localSheetId="16">#REF!</definedName>
    <definedName name="А1" localSheetId="3">#REF!</definedName>
    <definedName name="А1" localSheetId="23">#REF!</definedName>
    <definedName name="А1" localSheetId="29">#REF!</definedName>
    <definedName name="А1" localSheetId="1">#REF!</definedName>
    <definedName name="А1" localSheetId="0">#REF!</definedName>
    <definedName name="А1" localSheetId="24">#REF!</definedName>
    <definedName name="А1" localSheetId="30">#REF!</definedName>
    <definedName name="А1" localSheetId="20">#REF!</definedName>
    <definedName name="А1" localSheetId="26">#REF!</definedName>
    <definedName name="А1" localSheetId="32">#REF!</definedName>
    <definedName name="А1">#REF!</definedName>
    <definedName name="ааа" localSheetId="12">#REF!</definedName>
    <definedName name="ааа" localSheetId="7">#REF!</definedName>
    <definedName name="ааа" localSheetId="14">#REF!</definedName>
    <definedName name="ааа" localSheetId="17">#REF!</definedName>
    <definedName name="ааа" localSheetId="15">#REF!</definedName>
    <definedName name="ааа" localSheetId="18">#REF!</definedName>
    <definedName name="ааа" localSheetId="16">#REF!</definedName>
    <definedName name="ааа">#REF!</definedName>
    <definedName name="ааа_14" localSheetId="12">#REF!</definedName>
    <definedName name="ааа_14" localSheetId="7">#REF!</definedName>
    <definedName name="ааа_14" localSheetId="14">#REF!</definedName>
    <definedName name="ааа_14" localSheetId="17">#REF!</definedName>
    <definedName name="ааа_14" localSheetId="15">#REF!</definedName>
    <definedName name="ааа_14" localSheetId="18">#REF!</definedName>
    <definedName name="ааа_14" localSheetId="16">#REF!</definedName>
    <definedName name="ааа_14">#REF!</definedName>
    <definedName name="АнМ" localSheetId="12">'[5]Гр5(о)'!#REF!</definedName>
    <definedName name="АнМ" localSheetId="14">'[5]Гр5(о)'!#REF!</definedName>
    <definedName name="АнМ" localSheetId="17">'[5]Гр5(о)'!#REF!</definedName>
    <definedName name="АнМ" localSheetId="15">'[5]Гр5(о)'!#REF!</definedName>
    <definedName name="АнМ" localSheetId="18">'[5]Гр5(о)'!#REF!</definedName>
    <definedName name="АнМ" localSheetId="16">'[5]Гр5(о)'!#REF!</definedName>
    <definedName name="АнМ">'[5]Гр5(о)'!#REF!</definedName>
    <definedName name="АнМ_14" localSheetId="12">'[5]Гр5(о)'!#REF!</definedName>
    <definedName name="АнМ_14" localSheetId="14">'[5]Гр5(о)'!#REF!</definedName>
    <definedName name="АнМ_14" localSheetId="17">'[5]Гр5(о)'!#REF!</definedName>
    <definedName name="АнМ_14" localSheetId="15">'[5]Гр5(о)'!#REF!</definedName>
    <definedName name="АнМ_14" localSheetId="18">'[5]Гр5(о)'!#REF!</definedName>
    <definedName name="АнМ_14" localSheetId="16">'[5]Гр5(о)'!#REF!</definedName>
    <definedName name="АнМ_14">'[5]Гр5(о)'!#REF!</definedName>
    <definedName name="апоыпао" localSheetId="12">#REF!</definedName>
    <definedName name="апоыпао" localSheetId="7">#REF!</definedName>
    <definedName name="апоыпао" localSheetId="14">#REF!</definedName>
    <definedName name="апоыпао" localSheetId="17">#REF!</definedName>
    <definedName name="апоыпао" localSheetId="15">#REF!</definedName>
    <definedName name="апоыпао" localSheetId="18">#REF!</definedName>
    <definedName name="апоыпао" localSheetId="16">#REF!</definedName>
    <definedName name="апоыпао">#REF!</definedName>
    <definedName name="афраврр" localSheetId="12">'[4]Гр5(о)'!#REF!</definedName>
    <definedName name="афраврр" localSheetId="14">'[4]Гр5(о)'!#REF!</definedName>
    <definedName name="афраврр" localSheetId="17">'[4]Гр5(о)'!#REF!</definedName>
    <definedName name="афраврр" localSheetId="15">'[4]Гр5(о)'!#REF!</definedName>
    <definedName name="афраврр" localSheetId="18">'[4]Гр5(о)'!#REF!</definedName>
    <definedName name="афраврр" localSheetId="16">'[4]Гр5(о)'!#REF!</definedName>
    <definedName name="афраврр">'[4]Гр5(о)'!#REF!</definedName>
    <definedName name="вв" localSheetId="12">[6]ПРОГНОЗ_1!#REF!</definedName>
    <definedName name="вв" localSheetId="14">[6]ПРОГНОЗ_1!#REF!</definedName>
    <definedName name="вв" localSheetId="17">[6]ПРОГНОЗ_1!#REF!</definedName>
    <definedName name="вв" localSheetId="15">[6]ПРОГНОЗ_1!#REF!</definedName>
    <definedName name="вв" localSheetId="18">[6]ПРОГНОЗ_1!#REF!</definedName>
    <definedName name="вв" localSheetId="16">[6]ПРОГНОЗ_1!#REF!</definedName>
    <definedName name="вв">[6]ПРОГНОЗ_1!#REF!</definedName>
    <definedName name="вв_14" localSheetId="12">[6]ПРОГНОЗ_1!#REF!</definedName>
    <definedName name="вв_14" localSheetId="14">[6]ПРОГНОЗ_1!#REF!</definedName>
    <definedName name="вв_14" localSheetId="17">[6]ПРОГНОЗ_1!#REF!</definedName>
    <definedName name="вв_14" localSheetId="15">[6]ПРОГНОЗ_1!#REF!</definedName>
    <definedName name="вв_14" localSheetId="18">[6]ПРОГНОЗ_1!#REF!</definedName>
    <definedName name="вв_14" localSheetId="16">[6]ПРОГНОЗ_1!#REF!</definedName>
    <definedName name="вв_14">[6]ПРОГНОЗ_1!#REF!</definedName>
    <definedName name="влол" localSheetId="12">#REF!</definedName>
    <definedName name="влол" localSheetId="7">#REF!</definedName>
    <definedName name="влол" localSheetId="14">#REF!</definedName>
    <definedName name="влол" localSheetId="17">#REF!</definedName>
    <definedName name="влол" localSheetId="15">#REF!</definedName>
    <definedName name="влол" localSheetId="18">#REF!</definedName>
    <definedName name="влол" localSheetId="16">#REF!</definedName>
    <definedName name="влол">#REF!</definedName>
    <definedName name="внг" localSheetId="7">#REF!</definedName>
    <definedName name="внг" localSheetId="14">#REF!</definedName>
    <definedName name="внг" localSheetId="17">#REF!</definedName>
    <definedName name="внг" localSheetId="15">#REF!</definedName>
    <definedName name="внг" localSheetId="18">#REF!</definedName>
    <definedName name="внг" localSheetId="16">#REF!</definedName>
    <definedName name="внг">#REF!</definedName>
    <definedName name="вр" localSheetId="12">#REF!</definedName>
    <definedName name="вр" localSheetId="7">#REF!</definedName>
    <definedName name="вр" localSheetId="14">#REF!</definedName>
    <definedName name="вр" localSheetId="17">#REF!</definedName>
    <definedName name="вр" localSheetId="15">#REF!</definedName>
    <definedName name="вр" localSheetId="18">#REF!</definedName>
    <definedName name="вр" localSheetId="16">#REF!</definedName>
    <definedName name="вр">#REF!</definedName>
    <definedName name="ВСХ" localSheetId="21">#REF!</definedName>
    <definedName name="ВСХ" localSheetId="27">#REF!</definedName>
    <definedName name="ВСХ" localSheetId="33">#REF!</definedName>
    <definedName name="ВСХ" localSheetId="19">#REF!</definedName>
    <definedName name="ВСХ" localSheetId="25">#REF!</definedName>
    <definedName name="ВСХ" localSheetId="31">#REF!</definedName>
    <definedName name="ВСХ" localSheetId="12">#REF!</definedName>
    <definedName name="ВСХ" localSheetId="2">#REF!</definedName>
    <definedName name="ВСХ" localSheetId="22">#REF!</definedName>
    <definedName name="ВСХ" localSheetId="28">#REF!</definedName>
    <definedName name="ВСХ" localSheetId="7">#REF!</definedName>
    <definedName name="ВСХ" localSheetId="14">#REF!</definedName>
    <definedName name="ВСХ" localSheetId="17">#REF!</definedName>
    <definedName name="ВСХ" localSheetId="15">#REF!</definedName>
    <definedName name="ВСХ" localSheetId="18">#REF!</definedName>
    <definedName name="ВСХ" localSheetId="16">#REF!</definedName>
    <definedName name="ВСХ" localSheetId="3">#REF!</definedName>
    <definedName name="ВСХ" localSheetId="23">#REF!</definedName>
    <definedName name="ВСХ" localSheetId="29">#REF!</definedName>
    <definedName name="ВСХ" localSheetId="1">#REF!</definedName>
    <definedName name="ВСХ" localSheetId="0">#REF!</definedName>
    <definedName name="ВСХ" localSheetId="24">#REF!</definedName>
    <definedName name="ВСХ" localSheetId="30">#REF!</definedName>
    <definedName name="ВСХ" localSheetId="20">#REF!</definedName>
    <definedName name="ВСХ" localSheetId="26">#REF!</definedName>
    <definedName name="ВСХ" localSheetId="32">#REF!</definedName>
    <definedName name="ВСХ">#REF!</definedName>
    <definedName name="График">"Диагр. 4"</definedName>
    <definedName name="_xlnm.Print_Titles" localSheetId="19">'ГЦК+Энергия 2020'!$5:$7</definedName>
    <definedName name="_xlnm.Print_Titles" localSheetId="25">'ГЦК+Энергия 2021'!$5:$7</definedName>
    <definedName name="_xlnm.Print_Titles" localSheetId="31">'ГЦК+Энергия 2022'!$5:$7</definedName>
    <definedName name="кат" localSheetId="12">#REF!</definedName>
    <definedName name="кат" localSheetId="7">#REF!</definedName>
    <definedName name="кат" localSheetId="14">#REF!</definedName>
    <definedName name="кат" localSheetId="17">#REF!</definedName>
    <definedName name="кат" localSheetId="15">#REF!</definedName>
    <definedName name="кат" localSheetId="18">#REF!</definedName>
    <definedName name="кат" localSheetId="16">#REF!</definedName>
    <definedName name="кат">#REF!</definedName>
    <definedName name="кат_14" localSheetId="12">#REF!</definedName>
    <definedName name="кат_14" localSheetId="7">#REF!</definedName>
    <definedName name="кат_14" localSheetId="14">#REF!</definedName>
    <definedName name="кат_14" localSheetId="17">#REF!</definedName>
    <definedName name="кат_14" localSheetId="15">#REF!</definedName>
    <definedName name="кат_14" localSheetId="18">#REF!</definedName>
    <definedName name="кат_14" localSheetId="16">#REF!</definedName>
    <definedName name="кат_14">#REF!</definedName>
    <definedName name="КВ" localSheetId="21">#REF!</definedName>
    <definedName name="КВ" localSheetId="27">#REF!</definedName>
    <definedName name="КВ" localSheetId="33">#REF!</definedName>
    <definedName name="КВ" localSheetId="19">#REF!</definedName>
    <definedName name="КВ" localSheetId="25">#REF!</definedName>
    <definedName name="КВ" localSheetId="31">#REF!</definedName>
    <definedName name="КВ" localSheetId="12">#REF!</definedName>
    <definedName name="КВ" localSheetId="2">#REF!</definedName>
    <definedName name="КВ" localSheetId="22">#REF!</definedName>
    <definedName name="КВ" localSheetId="28">#REF!</definedName>
    <definedName name="КВ" localSheetId="7">#REF!</definedName>
    <definedName name="КВ" localSheetId="14">#REF!</definedName>
    <definedName name="КВ" localSheetId="17">#REF!</definedName>
    <definedName name="КВ" localSheetId="15">#REF!</definedName>
    <definedName name="КВ" localSheetId="18">#REF!</definedName>
    <definedName name="КВ" localSheetId="16">#REF!</definedName>
    <definedName name="КВ" localSheetId="3">#REF!</definedName>
    <definedName name="КВ" localSheetId="23">#REF!</definedName>
    <definedName name="КВ" localSheetId="29">#REF!</definedName>
    <definedName name="КВ" localSheetId="1">#REF!</definedName>
    <definedName name="КВ" localSheetId="0">#REF!</definedName>
    <definedName name="КВ" localSheetId="24">#REF!</definedName>
    <definedName name="КВ" localSheetId="30">#REF!</definedName>
    <definedName name="КВ" localSheetId="20">#REF!</definedName>
    <definedName name="КВ" localSheetId="26">#REF!</definedName>
    <definedName name="КВ" localSheetId="32">#REF!</definedName>
    <definedName name="КВ">#REF!</definedName>
    <definedName name="квр244" localSheetId="7">#REF!</definedName>
    <definedName name="квр244" localSheetId="14">#REF!</definedName>
    <definedName name="квр244" localSheetId="17">#REF!</definedName>
    <definedName name="квр244" localSheetId="15">#REF!</definedName>
    <definedName name="квр244" localSheetId="18">#REF!</definedName>
    <definedName name="квр244" localSheetId="16">#REF!</definedName>
    <definedName name="квр244">#REF!</definedName>
    <definedName name="Код_110100" localSheetId="21">#REF!</definedName>
    <definedName name="Код_110100" localSheetId="27">#REF!</definedName>
    <definedName name="Код_110100" localSheetId="33">#REF!</definedName>
    <definedName name="Код_110100" localSheetId="19">#REF!</definedName>
    <definedName name="Код_110100" localSheetId="25">#REF!</definedName>
    <definedName name="Код_110100" localSheetId="31">#REF!</definedName>
    <definedName name="Код_110100" localSheetId="12">#REF!</definedName>
    <definedName name="Код_110100" localSheetId="2">#REF!</definedName>
    <definedName name="Код_110100" localSheetId="22">#REF!</definedName>
    <definedName name="Код_110100" localSheetId="28">#REF!</definedName>
    <definedName name="Код_110100" localSheetId="7">#REF!</definedName>
    <definedName name="Код_110100" localSheetId="14">#REF!</definedName>
    <definedName name="Код_110100" localSheetId="17">#REF!</definedName>
    <definedName name="Код_110100" localSheetId="15">#REF!</definedName>
    <definedName name="Код_110100" localSheetId="18">#REF!</definedName>
    <definedName name="Код_110100" localSheetId="16">#REF!</definedName>
    <definedName name="Код_110100" localSheetId="3">#REF!</definedName>
    <definedName name="Код_110100" localSheetId="23">#REF!</definedName>
    <definedName name="Код_110100" localSheetId="29">#REF!</definedName>
    <definedName name="Код_110100" localSheetId="1">#REF!</definedName>
    <definedName name="Код_110100" localSheetId="0">#REF!</definedName>
    <definedName name="Код_110100" localSheetId="24">#REF!</definedName>
    <definedName name="Код_110100" localSheetId="30">#REF!</definedName>
    <definedName name="Код_110100" localSheetId="20">#REF!</definedName>
    <definedName name="Код_110100" localSheetId="26">#REF!</definedName>
    <definedName name="Код_110100" localSheetId="32">#REF!</definedName>
    <definedName name="Код_110100">#REF!</definedName>
    <definedName name="Код_110200" localSheetId="21">#REF!</definedName>
    <definedName name="Код_110200" localSheetId="27">#REF!</definedName>
    <definedName name="Код_110200" localSheetId="33">#REF!</definedName>
    <definedName name="Код_110200" localSheetId="19">#REF!</definedName>
    <definedName name="Код_110200" localSheetId="25">#REF!</definedName>
    <definedName name="Код_110200" localSheetId="31">#REF!</definedName>
    <definedName name="Код_110200" localSheetId="12">#REF!</definedName>
    <definedName name="Код_110200" localSheetId="2">#REF!</definedName>
    <definedName name="Код_110200" localSheetId="22">#REF!</definedName>
    <definedName name="Код_110200" localSheetId="28">#REF!</definedName>
    <definedName name="Код_110200" localSheetId="7">#REF!</definedName>
    <definedName name="Код_110200" localSheetId="14">#REF!</definedName>
    <definedName name="Код_110200" localSheetId="17">#REF!</definedName>
    <definedName name="Код_110200" localSheetId="15">#REF!</definedName>
    <definedName name="Код_110200" localSheetId="18">#REF!</definedName>
    <definedName name="Код_110200" localSheetId="16">#REF!</definedName>
    <definedName name="Код_110200" localSheetId="3">#REF!</definedName>
    <definedName name="Код_110200" localSheetId="23">#REF!</definedName>
    <definedName name="Код_110200" localSheetId="29">#REF!</definedName>
    <definedName name="Код_110200" localSheetId="1">#REF!</definedName>
    <definedName name="Код_110200" localSheetId="0">#REF!</definedName>
    <definedName name="Код_110200" localSheetId="24">#REF!</definedName>
    <definedName name="Код_110200" localSheetId="30">#REF!</definedName>
    <definedName name="Код_110200" localSheetId="20">#REF!</definedName>
    <definedName name="Код_110200" localSheetId="26">#REF!</definedName>
    <definedName name="Код_110200" localSheetId="32">#REF!</definedName>
    <definedName name="Код_110200">#REF!</definedName>
    <definedName name="Код_110500" localSheetId="21">#REF!</definedName>
    <definedName name="Код_110500" localSheetId="27">#REF!</definedName>
    <definedName name="Код_110500" localSheetId="33">#REF!</definedName>
    <definedName name="Код_110500" localSheetId="19">#REF!</definedName>
    <definedName name="Код_110500" localSheetId="25">#REF!</definedName>
    <definedName name="Код_110500" localSheetId="31">#REF!</definedName>
    <definedName name="Код_110500" localSheetId="12">#REF!</definedName>
    <definedName name="Код_110500" localSheetId="2">#REF!</definedName>
    <definedName name="Код_110500" localSheetId="22">#REF!</definedName>
    <definedName name="Код_110500" localSheetId="28">#REF!</definedName>
    <definedName name="Код_110500" localSheetId="7">#REF!</definedName>
    <definedName name="Код_110500" localSheetId="14">#REF!</definedName>
    <definedName name="Код_110500" localSheetId="17">#REF!</definedName>
    <definedName name="Код_110500" localSheetId="15">#REF!</definedName>
    <definedName name="Код_110500" localSheetId="18">#REF!</definedName>
    <definedName name="Код_110500" localSheetId="16">#REF!</definedName>
    <definedName name="Код_110500" localSheetId="3">#REF!</definedName>
    <definedName name="Код_110500" localSheetId="23">#REF!</definedName>
    <definedName name="Код_110500" localSheetId="29">#REF!</definedName>
    <definedName name="Код_110500" localSheetId="1">#REF!</definedName>
    <definedName name="Код_110500" localSheetId="0">#REF!</definedName>
    <definedName name="Код_110500" localSheetId="24">#REF!</definedName>
    <definedName name="Код_110500" localSheetId="30">#REF!</definedName>
    <definedName name="Код_110500" localSheetId="20">#REF!</definedName>
    <definedName name="Код_110500" localSheetId="26">#REF!</definedName>
    <definedName name="Код_110500" localSheetId="32">#REF!</definedName>
    <definedName name="Код_110500">#REF!</definedName>
    <definedName name="М1" localSheetId="12">[7]ПРОГНОЗ_1!#REF!</definedName>
    <definedName name="М1" localSheetId="14">[7]ПРОГНОЗ_1!#REF!</definedName>
    <definedName name="М1" localSheetId="17">[7]ПРОГНОЗ_1!#REF!</definedName>
    <definedName name="М1" localSheetId="15">[7]ПРОГНОЗ_1!#REF!</definedName>
    <definedName name="М1" localSheetId="18">[7]ПРОГНОЗ_1!#REF!</definedName>
    <definedName name="М1" localSheetId="16">[7]ПРОГНОЗ_1!#REF!</definedName>
    <definedName name="М1">[7]ПРОГНОЗ_1!#REF!</definedName>
    <definedName name="М1_14" localSheetId="12">[7]ПРОГНОЗ_1!#REF!</definedName>
    <definedName name="М1_14" localSheetId="14">[7]ПРОГНОЗ_1!#REF!</definedName>
    <definedName name="М1_14" localSheetId="17">[7]ПРОГНОЗ_1!#REF!</definedName>
    <definedName name="М1_14" localSheetId="15">[7]ПРОГНОЗ_1!#REF!</definedName>
    <definedName name="М1_14" localSheetId="18">[7]ПРОГНОЗ_1!#REF!</definedName>
    <definedName name="М1_14" localSheetId="16">[7]ПРОГНОЗ_1!#REF!</definedName>
    <definedName name="М1_14">[7]ПРОГНОЗ_1!#REF!</definedName>
    <definedName name="Мониторинг1" localSheetId="12">'[8]Гр5(о)'!#REF!</definedName>
    <definedName name="Мониторинг1" localSheetId="14">'[8]Гр5(о)'!#REF!</definedName>
    <definedName name="Мониторинг1" localSheetId="17">'[8]Гр5(о)'!#REF!</definedName>
    <definedName name="Мониторинг1" localSheetId="15">'[8]Гр5(о)'!#REF!</definedName>
    <definedName name="Мониторинг1" localSheetId="18">'[8]Гр5(о)'!#REF!</definedName>
    <definedName name="Мониторинг1" localSheetId="16">'[8]Гр5(о)'!#REF!</definedName>
    <definedName name="Мониторинг1">'[8]Гр5(о)'!#REF!</definedName>
    <definedName name="Мониторинг1_14" localSheetId="12">'[8]Гр5(о)'!#REF!</definedName>
    <definedName name="Мониторинг1_14" localSheetId="14">'[8]Гр5(о)'!#REF!</definedName>
    <definedName name="Мониторинг1_14" localSheetId="17">'[8]Гр5(о)'!#REF!</definedName>
    <definedName name="Мониторинг1_14" localSheetId="15">'[8]Гр5(о)'!#REF!</definedName>
    <definedName name="Мониторинг1_14" localSheetId="18">'[8]Гр5(о)'!#REF!</definedName>
    <definedName name="Мониторинг1_14" localSheetId="16">'[8]Гр5(о)'!#REF!</definedName>
    <definedName name="Мониторинг1_14">'[8]Гр5(о)'!#REF!</definedName>
    <definedName name="нговеошл" localSheetId="7">#REF!</definedName>
    <definedName name="нговеошл" localSheetId="14">#REF!</definedName>
    <definedName name="нговеошл" localSheetId="17">#REF!</definedName>
    <definedName name="нговеошл" localSheetId="15">#REF!</definedName>
    <definedName name="нговеошл" localSheetId="18">#REF!</definedName>
    <definedName name="нговеошл" localSheetId="16">#REF!</definedName>
    <definedName name="нговеошл">#REF!</definedName>
    <definedName name="нег" localSheetId="7">#REF!</definedName>
    <definedName name="нег" localSheetId="14">#REF!</definedName>
    <definedName name="нег" localSheetId="17">#REF!</definedName>
    <definedName name="нег" localSheetId="15">#REF!</definedName>
    <definedName name="нег" localSheetId="18">#REF!</definedName>
    <definedName name="нег" localSheetId="16">#REF!</definedName>
    <definedName name="нег">#REF!</definedName>
    <definedName name="нкшывк" localSheetId="7">#REF!</definedName>
    <definedName name="нкшывк" localSheetId="14">#REF!</definedName>
    <definedName name="нкшывк" localSheetId="17">#REF!</definedName>
    <definedName name="нкшывк" localSheetId="15">#REF!</definedName>
    <definedName name="нкшывк" localSheetId="18">#REF!</definedName>
    <definedName name="нкшывк" localSheetId="16">#REF!</definedName>
    <definedName name="нкшывк">#REF!</definedName>
    <definedName name="_xlnm.Print_Area" localSheetId="9">'возмещ ком услстрока 1230(135)+'!$A$1:$K$16</definedName>
    <definedName name="_xlnm.Print_Area" localSheetId="21">'Высоцкий 2020'!$A$1:$AH$42</definedName>
    <definedName name="_xlnm.Print_Area" localSheetId="27">'Высоцкий 2021'!$A$1:$AH$42</definedName>
    <definedName name="_xlnm.Print_Area" localSheetId="33">'Высоцкий 2022'!$A$1:$AH$42</definedName>
    <definedName name="_xlnm.Print_Area" localSheetId="19">'ГЦК+Энергия 2020'!$A$1:$AH$62</definedName>
    <definedName name="_xlnm.Print_Area" localSheetId="25">'ГЦК+Энергия 2021'!$A$1:$AH$62</definedName>
    <definedName name="_xlnm.Print_Area" localSheetId="31">'ГЦК+Энергия 2022'!$A$1:$AH$62</definedName>
    <definedName name="_xlnm.Print_Area" localSheetId="12">КВР!$A$1:$N$97</definedName>
    <definedName name="_xlnm.Print_Area" localSheetId="8">'концерты строка 1220 (131)+'!$A$1:$N$9</definedName>
    <definedName name="_xlnm.Print_Area" localSheetId="2">'музей 2020'!$A$1:$AH$40</definedName>
    <definedName name="_xlnm.Print_Area" localSheetId="22">'музей 2021'!$A$1:$AH$40</definedName>
    <definedName name="_xlnm.Print_Area" localSheetId="28">'музей 2022'!$A$1:$AH$40</definedName>
    <definedName name="_xlnm.Print_Area" localSheetId="10">'постуления 820 26-28'!$A$1:$K$14</definedName>
    <definedName name="_xlnm.Print_Area" localSheetId="7">'поступления 810 26-28'!$A$1:$AH$84</definedName>
    <definedName name="_xlnm.Print_Area" localSheetId="6">'поступления 831, 841 26-28'!$A$1:$M$24</definedName>
    <definedName name="_xlnm.Print_Area" localSheetId="5">'Поступления всего'!$A$1:$F$72</definedName>
    <definedName name="_xlnm.Print_Area" localSheetId="11">'прочие поступ строка 1980 (510)'!$A$1:$N$21</definedName>
    <definedName name="_xlnm.Print_Area" localSheetId="14">'расходы 810 26'!$A$1:$H$71</definedName>
    <definedName name="_xlnm.Print_Area" localSheetId="17">'расходы 810 27-28'!$A$1:$K$73</definedName>
    <definedName name="_xlnm.Print_Area" localSheetId="15">'расходы 820 26'!$A$1:$H$59</definedName>
    <definedName name="_xlnm.Print_Area" localSheetId="18">'расходы 820 27-28'!$A$1:$K$55</definedName>
    <definedName name="_xlnm.Print_Area" localSheetId="13">'расходы 831, 841 26'!$A$1:$K$59</definedName>
    <definedName name="_xlnm.Print_Area" localSheetId="16">'расходы 831, 841 27-28'!$A$1:$Q$61</definedName>
    <definedName name="_xlnm.Print_Area" localSheetId="3">'Родина 2020'!$A$1:$AH$35</definedName>
    <definedName name="_xlnm.Print_Area" localSheetId="23">'Родина 2021'!$A$1:$AH$35</definedName>
    <definedName name="_xlnm.Print_Area" localSheetId="29">'Родина 2022'!$A$1:$AH$35</definedName>
    <definedName name="_xlnm.Print_Area" localSheetId="1">СВОД!$A$1:$N$21</definedName>
    <definedName name="_xlnm.Print_Area" localSheetId="0">'СВОД (2)'!$A$1:$W$21</definedName>
    <definedName name="_xlnm.Print_Area" localSheetId="4">'ФХД_ Поступления и выплаты'!$A$1:$AA$134</definedName>
    <definedName name="_xlnm.Print_Area" localSheetId="24">'ЦБС 2021'!$A$1:$AH$38</definedName>
    <definedName name="_xlnm.Print_Area" localSheetId="30">'ЦБС 2022'!$A$1:$AH$38</definedName>
    <definedName name="_xlnm.Print_Area" localSheetId="20">'Юбилейный 2020'!$A$1:$AH$43</definedName>
    <definedName name="_xlnm.Print_Area" localSheetId="26">'Юбилейный 2021'!$A$1:$AH$43</definedName>
    <definedName name="_xlnm.Print_Area" localSheetId="32">'Юбилейный 2022'!$A$1:$AH$43</definedName>
    <definedName name="оь" localSheetId="7">#REF!</definedName>
    <definedName name="оь" localSheetId="14">#REF!</definedName>
    <definedName name="оь" localSheetId="17">#REF!</definedName>
    <definedName name="оь" localSheetId="15">#REF!</definedName>
    <definedName name="оь" localSheetId="18">#REF!</definedName>
    <definedName name="оь" localSheetId="16">#REF!</definedName>
    <definedName name="оь">#REF!</definedName>
    <definedName name="п" localSheetId="12">#REF!</definedName>
    <definedName name="п" localSheetId="7">#REF!</definedName>
    <definedName name="п" localSheetId="14">#REF!</definedName>
    <definedName name="п" localSheetId="17">#REF!</definedName>
    <definedName name="п" localSheetId="15">#REF!</definedName>
    <definedName name="п" localSheetId="18">#REF!</definedName>
    <definedName name="п" localSheetId="16">#REF!</definedName>
    <definedName name="п">#REF!</definedName>
    <definedName name="панрти" localSheetId="14">[6]ПРОГНОЗ_1!#REF!</definedName>
    <definedName name="панрти" localSheetId="17">[6]ПРОГНОЗ_1!#REF!</definedName>
    <definedName name="панрти" localSheetId="15">[6]ПРОГНОЗ_1!#REF!</definedName>
    <definedName name="панрти" localSheetId="18">[6]ПРОГНОЗ_1!#REF!</definedName>
    <definedName name="панрти" localSheetId="16">[6]ПРОГНОЗ_1!#REF!</definedName>
    <definedName name="панрти">[6]ПРОГНОЗ_1!#REF!</definedName>
    <definedName name="паыоаыпо" localSheetId="12">#REF!</definedName>
    <definedName name="паыоаыпо" localSheetId="7">#REF!</definedName>
    <definedName name="паыоаыпо" localSheetId="14">#REF!</definedName>
    <definedName name="паыоаыпо" localSheetId="17">#REF!</definedName>
    <definedName name="паыоаыпо" localSheetId="15">#REF!</definedName>
    <definedName name="паыоаыпо" localSheetId="18">#REF!</definedName>
    <definedName name="паыоаыпо" localSheetId="16">#REF!</definedName>
    <definedName name="паыоаыпо">#REF!</definedName>
    <definedName name="Пгород" localSheetId="12">#REF!</definedName>
    <definedName name="Пгород" localSheetId="7">#REF!</definedName>
    <definedName name="Пгород" localSheetId="14">#REF!</definedName>
    <definedName name="Пгород" localSheetId="17">#REF!</definedName>
    <definedName name="Пгород" localSheetId="15">#REF!</definedName>
    <definedName name="Пгород" localSheetId="18">#REF!</definedName>
    <definedName name="Пгород" localSheetId="16">#REF!</definedName>
    <definedName name="Пгород">#REF!</definedName>
    <definedName name="ПОКАЗАТЕЛИ_ДОЛГОСР.ПРОГНОЗА" localSheetId="12">'[9]2002(v2)'!#REF!</definedName>
    <definedName name="ПОКАЗАТЕЛИ_ДОЛГОСР.ПРОГНОЗА" localSheetId="14">'[9]2002(v2)'!#REF!</definedName>
    <definedName name="ПОКАЗАТЕЛИ_ДОЛГОСР.ПРОГНОЗА" localSheetId="17">'[9]2002(v2)'!#REF!</definedName>
    <definedName name="ПОКАЗАТЕЛИ_ДОЛГОСР.ПРОГНОЗА" localSheetId="15">'[9]2002(v2)'!#REF!</definedName>
    <definedName name="ПОКАЗАТЕЛИ_ДОЛГОСР.ПРОГНОЗА" localSheetId="18">'[9]2002(v2)'!#REF!</definedName>
    <definedName name="ПОКАЗАТЕЛИ_ДОЛГОСР.ПРОГНОЗА" localSheetId="16">'[9]2002(v2)'!#REF!</definedName>
    <definedName name="ПОКАЗАТЕЛИ_ДОЛГОСР.ПРОГНОЗА">'[9]2002(v2)'!#REF!</definedName>
    <definedName name="ПОКАЗАТЕЛИ_ДОЛГОСР.ПРОГНОЗА_14" localSheetId="12">'[9]2002(v2)'!#REF!</definedName>
    <definedName name="ПОКАЗАТЕЛИ_ДОЛГОСР.ПРОГНОЗА_14" localSheetId="14">'[9]2002(v2)'!#REF!</definedName>
    <definedName name="ПОКАЗАТЕЛИ_ДОЛГОСР.ПРОГНОЗА_14" localSheetId="17">'[9]2002(v2)'!#REF!</definedName>
    <definedName name="ПОКАЗАТЕЛИ_ДОЛГОСР.ПРОГНОЗА_14" localSheetId="15">'[9]2002(v2)'!#REF!</definedName>
    <definedName name="ПОКАЗАТЕЛИ_ДОЛГОСР.ПРОГНОЗА_14" localSheetId="18">'[9]2002(v2)'!#REF!</definedName>
    <definedName name="ПОКАЗАТЕЛИ_ДОЛГОСР.ПРОГНОЗА_14" localSheetId="16">'[9]2002(v2)'!#REF!</definedName>
    <definedName name="ПОКАЗАТЕЛИ_ДОЛГОСР.ПРОГНОЗА_14">'[9]2002(v2)'!#REF!</definedName>
    <definedName name="пппп" localSheetId="12">'[10]2002(v1)'!#REF!</definedName>
    <definedName name="пппп" localSheetId="14">'[10]2002(v1)'!#REF!</definedName>
    <definedName name="пппп" localSheetId="17">'[10]2002(v1)'!#REF!</definedName>
    <definedName name="пппп" localSheetId="15">'[10]2002(v1)'!#REF!</definedName>
    <definedName name="пппп" localSheetId="18">'[10]2002(v1)'!#REF!</definedName>
    <definedName name="пппп" localSheetId="16">'[10]2002(v1)'!#REF!</definedName>
    <definedName name="пппп">'[10]2002(v1)'!#REF!</definedName>
    <definedName name="пппп_14" localSheetId="12">'[10]2002(v1)'!#REF!</definedName>
    <definedName name="пппп_14" localSheetId="14">'[10]2002(v1)'!#REF!</definedName>
    <definedName name="пппп_14" localSheetId="17">'[10]2002(v1)'!#REF!</definedName>
    <definedName name="пппп_14" localSheetId="15">'[10]2002(v1)'!#REF!</definedName>
    <definedName name="пппп_14" localSheetId="18">'[10]2002(v1)'!#REF!</definedName>
    <definedName name="пппп_14" localSheetId="16">'[10]2002(v1)'!#REF!</definedName>
    <definedName name="пппп_14">'[10]2002(v1)'!#REF!</definedName>
    <definedName name="прво" localSheetId="12">#REF!</definedName>
    <definedName name="прво" localSheetId="7">#REF!</definedName>
    <definedName name="прво" localSheetId="14">#REF!</definedName>
    <definedName name="прво" localSheetId="17">#REF!</definedName>
    <definedName name="прво" localSheetId="15">#REF!</definedName>
    <definedName name="прво" localSheetId="18">#REF!</definedName>
    <definedName name="прво" localSheetId="16">#REF!</definedName>
    <definedName name="прво">#REF!</definedName>
    <definedName name="про" localSheetId="12">#REF!</definedName>
    <definedName name="про" localSheetId="7">#REF!</definedName>
    <definedName name="про" localSheetId="14">#REF!</definedName>
    <definedName name="про" localSheetId="17">#REF!</definedName>
    <definedName name="про" localSheetId="15">#REF!</definedName>
    <definedName name="про" localSheetId="18">#REF!</definedName>
    <definedName name="про" localSheetId="16">#REF!</definedName>
    <definedName name="про">#REF!</definedName>
    <definedName name="Прогноз97" localSheetId="12">[11]ПРОГНОЗ_1!#REF!</definedName>
    <definedName name="Прогноз97" localSheetId="14">[11]ПРОГНОЗ_1!#REF!</definedName>
    <definedName name="Прогноз97" localSheetId="17">[11]ПРОГНОЗ_1!#REF!</definedName>
    <definedName name="Прогноз97" localSheetId="15">[11]ПРОГНОЗ_1!#REF!</definedName>
    <definedName name="Прогноз97" localSheetId="18">[11]ПРОГНОЗ_1!#REF!</definedName>
    <definedName name="Прогноз97" localSheetId="16">[11]ПРОГНОЗ_1!#REF!</definedName>
    <definedName name="Прогноз97">[11]ПРОГНОЗ_1!#REF!</definedName>
    <definedName name="Прогноз97_14" localSheetId="12">[11]ПРОГНОЗ_1!#REF!</definedName>
    <definedName name="Прогноз97_14" localSheetId="14">[11]ПРОГНОЗ_1!#REF!</definedName>
    <definedName name="Прогноз97_14" localSheetId="17">[11]ПРОГНОЗ_1!#REF!</definedName>
    <definedName name="Прогноз97_14" localSheetId="15">[11]ПРОГНОЗ_1!#REF!</definedName>
    <definedName name="Прогноз97_14" localSheetId="18">[11]ПРОГНОЗ_1!#REF!</definedName>
    <definedName name="Прогноз97_14" localSheetId="16">[11]ПРОГНОЗ_1!#REF!</definedName>
    <definedName name="Прогноз97_14">[11]ПРОГНОЗ_1!#REF!</definedName>
    <definedName name="раолдраод" localSheetId="12">#REF!</definedName>
    <definedName name="раолдраод" localSheetId="7">#REF!</definedName>
    <definedName name="раолдраод" localSheetId="14">#REF!</definedName>
    <definedName name="раолдраод" localSheetId="17">#REF!</definedName>
    <definedName name="раолдраод" localSheetId="15">#REF!</definedName>
    <definedName name="раолдраод" localSheetId="18">#REF!</definedName>
    <definedName name="раолдраод" localSheetId="16">#REF!</definedName>
    <definedName name="раолдраод">#REF!</definedName>
    <definedName name="уцкецукецк" localSheetId="12">'[10]2002(v1)'!#REF!</definedName>
    <definedName name="уцкецукецк" localSheetId="14">'[10]2002(v1)'!#REF!</definedName>
    <definedName name="уцкецукецк" localSheetId="17">'[10]2002(v1)'!#REF!</definedName>
    <definedName name="уцкецукецк" localSheetId="15">'[10]2002(v1)'!#REF!</definedName>
    <definedName name="уцкецукецк" localSheetId="18">'[10]2002(v1)'!#REF!</definedName>
    <definedName name="уцкецукецк" localSheetId="16">'[10]2002(v1)'!#REF!</definedName>
    <definedName name="уцкецукецк">'[10]2002(v1)'!#REF!</definedName>
    <definedName name="Ф.И.О." localSheetId="7">#REF!</definedName>
    <definedName name="Ф.И.О." localSheetId="14">#REF!</definedName>
    <definedName name="Ф.И.О." localSheetId="17">#REF!</definedName>
    <definedName name="Ф.И.О." localSheetId="15">#REF!</definedName>
    <definedName name="Ф.И.О." localSheetId="18">#REF!</definedName>
    <definedName name="Ф.И.О." localSheetId="16">#REF!</definedName>
    <definedName name="Ф.И.О.">#REF!</definedName>
    <definedName name="фварварффврвр" localSheetId="12">'[5]Гр5(о)'!#REF!</definedName>
    <definedName name="фварварффврвр" localSheetId="14">'[5]Гр5(о)'!#REF!</definedName>
    <definedName name="фварварффврвр" localSheetId="17">'[5]Гр5(о)'!#REF!</definedName>
    <definedName name="фварварффврвр" localSheetId="15">'[5]Гр5(о)'!#REF!</definedName>
    <definedName name="фварварффврвр" localSheetId="18">'[5]Гр5(о)'!#REF!</definedName>
    <definedName name="фварварффврвр" localSheetId="16">'[5]Гр5(о)'!#REF!</definedName>
    <definedName name="фварварффврвр">'[5]Гр5(о)'!#REF!</definedName>
    <definedName name="фварфварфр" localSheetId="12">#REF!</definedName>
    <definedName name="фварфварфр" localSheetId="7">#REF!</definedName>
    <definedName name="фварфварфр" localSheetId="14">#REF!</definedName>
    <definedName name="фварфварфр" localSheetId="17">#REF!</definedName>
    <definedName name="фварфварфр" localSheetId="15">#REF!</definedName>
    <definedName name="фварфварфр" localSheetId="18">#REF!</definedName>
    <definedName name="фварфварфр" localSheetId="16">#REF!</definedName>
    <definedName name="фварфварфр">#REF!</definedName>
    <definedName name="фврафврварфвра" localSheetId="12">[6]ПРОГНОЗ_1!#REF!</definedName>
    <definedName name="фврафврварфвра" localSheetId="14">[6]ПРОГНОЗ_1!#REF!</definedName>
    <definedName name="фврафврварфвра" localSheetId="17">[6]ПРОГНОЗ_1!#REF!</definedName>
    <definedName name="фврафврварфвра" localSheetId="15">[6]ПРОГНОЗ_1!#REF!</definedName>
    <definedName name="фврафврварфвра" localSheetId="18">[6]ПРОГНОЗ_1!#REF!</definedName>
    <definedName name="фврафврварфвра" localSheetId="16">[6]ПРОГНОЗ_1!#REF!</definedName>
    <definedName name="фврафврварфвра">[6]ПРОГНОЗ_1!#REF!</definedName>
    <definedName name="ФЗП" localSheetId="21">#REF!</definedName>
    <definedName name="ФЗП" localSheetId="27">#REF!</definedName>
    <definedName name="ФЗП" localSheetId="33">#REF!</definedName>
    <definedName name="ФЗП" localSheetId="19">#REF!</definedName>
    <definedName name="ФЗП" localSheetId="25">#REF!</definedName>
    <definedName name="ФЗП" localSheetId="31">#REF!</definedName>
    <definedName name="ФЗП" localSheetId="12">#REF!</definedName>
    <definedName name="ФЗП" localSheetId="2">#REF!</definedName>
    <definedName name="ФЗП" localSheetId="22">#REF!</definedName>
    <definedName name="ФЗП" localSheetId="28">#REF!</definedName>
    <definedName name="ФЗП" localSheetId="7">#REF!</definedName>
    <definedName name="ФЗП" localSheetId="14">#REF!</definedName>
    <definedName name="ФЗП" localSheetId="17">#REF!</definedName>
    <definedName name="ФЗП" localSheetId="15">#REF!</definedName>
    <definedName name="ФЗП" localSheetId="18">#REF!</definedName>
    <definedName name="ФЗП" localSheetId="16">#REF!</definedName>
    <definedName name="ФЗП" localSheetId="3">#REF!</definedName>
    <definedName name="ФЗП" localSheetId="23">#REF!</definedName>
    <definedName name="ФЗП" localSheetId="29">#REF!</definedName>
    <definedName name="ФЗП" localSheetId="1">#REF!</definedName>
    <definedName name="ФЗП" localSheetId="0">#REF!</definedName>
    <definedName name="ФЗП" localSheetId="24">#REF!</definedName>
    <definedName name="ФЗП" localSheetId="30">#REF!</definedName>
    <definedName name="ФЗП" localSheetId="20">#REF!</definedName>
    <definedName name="ФЗП" localSheetId="26">#REF!</definedName>
    <definedName name="ФЗП" localSheetId="32">#REF!</definedName>
    <definedName name="ФЗП">#REF!</definedName>
    <definedName name="ФЗПсп" localSheetId="21">#REF!</definedName>
    <definedName name="ФЗПсп" localSheetId="27">#REF!</definedName>
    <definedName name="ФЗПсп" localSheetId="33">#REF!</definedName>
    <definedName name="ФЗПсп" localSheetId="19">#REF!</definedName>
    <definedName name="ФЗПсп" localSheetId="25">#REF!</definedName>
    <definedName name="ФЗПсп" localSheetId="31">#REF!</definedName>
    <definedName name="ФЗПсп" localSheetId="12">#REF!</definedName>
    <definedName name="ФЗПсп" localSheetId="2">#REF!</definedName>
    <definedName name="ФЗПсп" localSheetId="22">#REF!</definedName>
    <definedName name="ФЗПсп" localSheetId="28">#REF!</definedName>
    <definedName name="ФЗПсп" localSheetId="7">#REF!</definedName>
    <definedName name="ФЗПсп" localSheetId="14">#REF!</definedName>
    <definedName name="ФЗПсп" localSheetId="17">#REF!</definedName>
    <definedName name="ФЗПсп" localSheetId="15">#REF!</definedName>
    <definedName name="ФЗПсп" localSheetId="18">#REF!</definedName>
    <definedName name="ФЗПсп" localSheetId="16">#REF!</definedName>
    <definedName name="ФЗПсп" localSheetId="3">#REF!</definedName>
    <definedName name="ФЗПсп" localSheetId="23">#REF!</definedName>
    <definedName name="ФЗПсп" localSheetId="29">#REF!</definedName>
    <definedName name="ФЗПсп" localSheetId="1">#REF!</definedName>
    <definedName name="ФЗПсп" localSheetId="0">#REF!</definedName>
    <definedName name="ФЗПсп" localSheetId="24">#REF!</definedName>
    <definedName name="ФЗПсп" localSheetId="30">#REF!</definedName>
    <definedName name="ФЗПсп" localSheetId="20">#REF!</definedName>
    <definedName name="ФЗПсп" localSheetId="26">#REF!</definedName>
    <definedName name="ФЗПсп" localSheetId="32">#REF!</definedName>
    <definedName name="ФЗПсп">#REF!</definedName>
    <definedName name="ФКВ" localSheetId="21">#REF!</definedName>
    <definedName name="ФКВ" localSheetId="27">#REF!</definedName>
    <definedName name="ФКВ" localSheetId="33">#REF!</definedName>
    <definedName name="ФКВ" localSheetId="19">#REF!</definedName>
    <definedName name="ФКВ" localSheetId="25">#REF!</definedName>
    <definedName name="ФКВ" localSheetId="31">#REF!</definedName>
    <definedName name="ФКВ" localSheetId="12">#REF!</definedName>
    <definedName name="ФКВ" localSheetId="2">#REF!</definedName>
    <definedName name="ФКВ" localSheetId="22">#REF!</definedName>
    <definedName name="ФКВ" localSheetId="28">#REF!</definedName>
    <definedName name="ФКВ" localSheetId="7">#REF!</definedName>
    <definedName name="ФКВ" localSheetId="14">#REF!</definedName>
    <definedName name="ФКВ" localSheetId="17">#REF!</definedName>
    <definedName name="ФКВ" localSheetId="15">#REF!</definedName>
    <definedName name="ФКВ" localSheetId="18">#REF!</definedName>
    <definedName name="ФКВ" localSheetId="16">#REF!</definedName>
    <definedName name="ФКВ" localSheetId="3">#REF!</definedName>
    <definedName name="ФКВ" localSheetId="23">#REF!</definedName>
    <definedName name="ФКВ" localSheetId="29">#REF!</definedName>
    <definedName name="ФКВ" localSheetId="1">#REF!</definedName>
    <definedName name="ФКВ" localSheetId="0">#REF!</definedName>
    <definedName name="ФКВ" localSheetId="24">#REF!</definedName>
    <definedName name="ФКВ" localSheetId="30">#REF!</definedName>
    <definedName name="ФКВ" localSheetId="20">#REF!</definedName>
    <definedName name="ФКВ" localSheetId="26">#REF!</definedName>
    <definedName name="ФКВ" localSheetId="32">#REF!</definedName>
    <definedName name="ФКВ">#REF!</definedName>
    <definedName name="фф" localSheetId="12">'[12]Гр5(о)'!#REF!</definedName>
    <definedName name="фф" localSheetId="14">'[12]Гр5(о)'!#REF!</definedName>
    <definedName name="фф" localSheetId="17">'[12]Гр5(о)'!#REF!</definedName>
    <definedName name="фф" localSheetId="15">'[12]Гр5(о)'!#REF!</definedName>
    <definedName name="фф" localSheetId="18">'[12]Гр5(о)'!#REF!</definedName>
    <definedName name="фф" localSheetId="16">'[12]Гр5(о)'!#REF!</definedName>
    <definedName name="фф">'[12]Гр5(о)'!#REF!</definedName>
    <definedName name="фф_14" localSheetId="12">'[12]Гр5(о)'!#REF!</definedName>
    <definedName name="фф_14" localSheetId="14">'[12]Гр5(о)'!#REF!</definedName>
    <definedName name="фф_14" localSheetId="17">'[12]Гр5(о)'!#REF!</definedName>
    <definedName name="фф_14" localSheetId="15">'[12]Гр5(о)'!#REF!</definedName>
    <definedName name="фф_14" localSheetId="18">'[12]Гр5(о)'!#REF!</definedName>
    <definedName name="фф_14" localSheetId="16">'[12]Гр5(о)'!#REF!</definedName>
    <definedName name="фф_14">'[12]Гр5(о)'!#REF!</definedName>
    <definedName name="ффккуеуцкеукеуеуцке" localSheetId="12">#REF!</definedName>
    <definedName name="ффккуеуцкеукеуеуцке" localSheetId="7">#REF!</definedName>
    <definedName name="ффккуеуцкеукеуеуцке" localSheetId="14">#REF!</definedName>
    <definedName name="ффккуеуцкеукеуеуцке" localSheetId="17">#REF!</definedName>
    <definedName name="ффккуеуцкеукеуеуцке" localSheetId="15">#REF!</definedName>
    <definedName name="ффккуеуцкеукеуеуцке" localSheetId="18">#REF!</definedName>
    <definedName name="ффккуеуцкеукеуеуцке" localSheetId="16">#REF!</definedName>
    <definedName name="ффккуеуцкеукеуеуцке">#REF!</definedName>
    <definedName name="ффф" localSheetId="12">#REF!</definedName>
    <definedName name="ффф" localSheetId="7">#REF!</definedName>
    <definedName name="ффф" localSheetId="14">#REF!</definedName>
    <definedName name="ффф" localSheetId="17">#REF!</definedName>
    <definedName name="ффф" localSheetId="15">#REF!</definedName>
    <definedName name="ффф" localSheetId="18">#REF!</definedName>
    <definedName name="ффф" localSheetId="16">#REF!</definedName>
    <definedName name="ффф">#REF!</definedName>
    <definedName name="ффф_14" localSheetId="12">#REF!</definedName>
    <definedName name="ффф_14" localSheetId="7">#REF!</definedName>
    <definedName name="ффф_14" localSheetId="14">#REF!</definedName>
    <definedName name="ффф_14" localSheetId="17">#REF!</definedName>
    <definedName name="ффф_14" localSheetId="15">#REF!</definedName>
    <definedName name="ффф_14" localSheetId="18">#REF!</definedName>
    <definedName name="ффф_14" localSheetId="16">#REF!</definedName>
    <definedName name="ффф_14">#REF!</definedName>
    <definedName name="фяыв" localSheetId="12">#REF!</definedName>
    <definedName name="фяыв" localSheetId="7">#REF!</definedName>
    <definedName name="фяыв" localSheetId="14">#REF!</definedName>
    <definedName name="фяыв" localSheetId="17">#REF!</definedName>
    <definedName name="фяыв" localSheetId="15">#REF!</definedName>
    <definedName name="фяыв" localSheetId="18">#REF!</definedName>
    <definedName name="фяыв" localSheetId="16">#REF!</definedName>
    <definedName name="фяыв">#REF!</definedName>
    <definedName name="цуецуецу" localSheetId="12">#REF!</definedName>
    <definedName name="цуецуецу" localSheetId="7">#REF!</definedName>
    <definedName name="цуецуецу" localSheetId="14">#REF!</definedName>
    <definedName name="цуецуецу" localSheetId="17">#REF!</definedName>
    <definedName name="цуецуецу" localSheetId="15">#REF!</definedName>
    <definedName name="цуецуецу" localSheetId="18">#REF!</definedName>
    <definedName name="цуецуецу" localSheetId="16">#REF!</definedName>
    <definedName name="цуецуецу">#REF!</definedName>
    <definedName name="цук" localSheetId="12">'[13]2002(v2)'!#REF!</definedName>
    <definedName name="цук" localSheetId="14">'[13]2002(v2)'!#REF!</definedName>
    <definedName name="цук" localSheetId="17">'[13]2002(v2)'!#REF!</definedName>
    <definedName name="цук" localSheetId="15">'[13]2002(v2)'!#REF!</definedName>
    <definedName name="цук" localSheetId="18">'[13]2002(v2)'!#REF!</definedName>
    <definedName name="цук" localSheetId="16">'[13]2002(v2)'!#REF!</definedName>
    <definedName name="цук">'[13]2002(v2)'!#REF!</definedName>
    <definedName name="цукеукеук" localSheetId="12">[7]ПРОГНОЗ_1!#REF!</definedName>
    <definedName name="цукеукеук" localSheetId="14">[7]ПРОГНОЗ_1!#REF!</definedName>
    <definedName name="цукеукеук" localSheetId="17">[7]ПРОГНОЗ_1!#REF!</definedName>
    <definedName name="цукеукеук" localSheetId="15">[7]ПРОГНОЗ_1!#REF!</definedName>
    <definedName name="цукеукеук" localSheetId="18">[7]ПРОГНОЗ_1!#REF!</definedName>
    <definedName name="цукеукеук" localSheetId="16">[7]ПРОГНОЗ_1!#REF!</definedName>
    <definedName name="цукеукеук">[7]ПРОГНОЗ_1!#REF!</definedName>
    <definedName name="цукецку" localSheetId="12">[11]ПРОГНОЗ_1!#REF!</definedName>
    <definedName name="цукецку" localSheetId="14">[11]ПРОГНОЗ_1!#REF!</definedName>
    <definedName name="цукецку" localSheetId="17">[11]ПРОГНОЗ_1!#REF!</definedName>
    <definedName name="цукецку" localSheetId="15">[11]ПРОГНОЗ_1!#REF!</definedName>
    <definedName name="цукецку" localSheetId="18">[11]ПРОГНОЗ_1!#REF!</definedName>
    <definedName name="цукецку" localSheetId="16">[11]ПРОГНОЗ_1!#REF!</definedName>
    <definedName name="цукецку">[11]ПРОГНОЗ_1!#REF!</definedName>
    <definedName name="цукецуке" localSheetId="12">#REF!</definedName>
    <definedName name="цукецуке" localSheetId="7">#REF!</definedName>
    <definedName name="цукецуке" localSheetId="14">#REF!</definedName>
    <definedName name="цукецуке" localSheetId="17">#REF!</definedName>
    <definedName name="цукецуке" localSheetId="15">#REF!</definedName>
    <definedName name="цукецуке" localSheetId="18">#REF!</definedName>
    <definedName name="цукецуке" localSheetId="16">#REF!</definedName>
    <definedName name="цукецуке">#REF!</definedName>
    <definedName name="цукецукеуце" localSheetId="12">'[8]Гр5(о)'!#REF!</definedName>
    <definedName name="цукецукеуце" localSheetId="14">'[8]Гр5(о)'!#REF!</definedName>
    <definedName name="цукецукеуце" localSheetId="17">'[8]Гр5(о)'!#REF!</definedName>
    <definedName name="цукецукеуце" localSheetId="15">'[8]Гр5(о)'!#REF!</definedName>
    <definedName name="цукецукеуце" localSheetId="18">'[8]Гр5(о)'!#REF!</definedName>
    <definedName name="цукецукеуце" localSheetId="16">'[8]Гр5(о)'!#REF!</definedName>
    <definedName name="цукецукеуце">'[8]Гр5(о)'!#REF!</definedName>
    <definedName name="цуцуе" localSheetId="12">'[3]Гр5(о)'!#REF!</definedName>
    <definedName name="цуцуе" localSheetId="14">'[3]Гр5(о)'!#REF!</definedName>
    <definedName name="цуцуе" localSheetId="17">'[3]Гр5(о)'!#REF!</definedName>
    <definedName name="цуцуе" localSheetId="15">'[3]Гр5(о)'!#REF!</definedName>
    <definedName name="цуцуе" localSheetId="18">'[3]Гр5(о)'!#REF!</definedName>
    <definedName name="цуцуе" localSheetId="16">'[3]Гр5(о)'!#REF!</definedName>
    <definedName name="цуцуе">'[3]Гр5(о)'!#REF!</definedName>
    <definedName name="чварьлврл" localSheetId="12">[2]ПРОГНОЗ_1!#REF!</definedName>
    <definedName name="чварьлврл" localSheetId="14">[2]ПРОГНОЗ_1!#REF!</definedName>
    <definedName name="чварьлврл" localSheetId="17">[2]ПРОГНОЗ_1!#REF!</definedName>
    <definedName name="чварьлврл" localSheetId="15">[2]ПРОГНОЗ_1!#REF!</definedName>
    <definedName name="чварьлврл" localSheetId="18">[2]ПРОГНОЗ_1!#REF!</definedName>
    <definedName name="чварьлврл" localSheetId="16">[2]ПРОГНОЗ_1!#REF!</definedName>
    <definedName name="чварьлврл">[2]ПРОГНОЗ_1!#REF!</definedName>
    <definedName name="Штат" localSheetId="21">#REF!</definedName>
    <definedName name="Штат" localSheetId="27">#REF!</definedName>
    <definedName name="Штат" localSheetId="33">#REF!</definedName>
    <definedName name="Штат" localSheetId="19">#REF!</definedName>
    <definedName name="Штат" localSheetId="25">#REF!</definedName>
    <definedName name="Штат" localSheetId="31">#REF!</definedName>
    <definedName name="Штат" localSheetId="12">#REF!</definedName>
    <definedName name="Штат" localSheetId="2">#REF!</definedName>
    <definedName name="Штат" localSheetId="22">#REF!</definedName>
    <definedName name="Штат" localSheetId="28">#REF!</definedName>
    <definedName name="Штат" localSheetId="7">#REF!</definedName>
    <definedName name="Штат" localSheetId="14">#REF!</definedName>
    <definedName name="Штат" localSheetId="17">#REF!</definedName>
    <definedName name="Штат" localSheetId="15">#REF!</definedName>
    <definedName name="Штат" localSheetId="18">#REF!</definedName>
    <definedName name="Штат" localSheetId="16">#REF!</definedName>
    <definedName name="Штат" localSheetId="3">#REF!</definedName>
    <definedName name="Штат" localSheetId="23">#REF!</definedName>
    <definedName name="Штат" localSheetId="29">#REF!</definedName>
    <definedName name="Штат" localSheetId="1">#REF!</definedName>
    <definedName name="Штат" localSheetId="0">#REF!</definedName>
    <definedName name="Штат" localSheetId="24">#REF!</definedName>
    <definedName name="Штат" localSheetId="30">#REF!</definedName>
    <definedName name="Штат" localSheetId="20">#REF!</definedName>
    <definedName name="Штат" localSheetId="26">#REF!</definedName>
    <definedName name="Штат" localSheetId="32">#REF!</definedName>
    <definedName name="Штат">#REF!</definedName>
    <definedName name="ыаоапо" localSheetId="12">#REF!</definedName>
    <definedName name="ыаоапо" localSheetId="7">#REF!</definedName>
    <definedName name="ыаоапо" localSheetId="14">#REF!</definedName>
    <definedName name="ыаоапо" localSheetId="17">#REF!</definedName>
    <definedName name="ыаоапо" localSheetId="15">#REF!</definedName>
    <definedName name="ыаоапо" localSheetId="18">#REF!</definedName>
    <definedName name="ыаоапо" localSheetId="16">#REF!</definedName>
    <definedName name="ыаоапо">#REF!</definedName>
    <definedName name="ыапоапо" localSheetId="12">#REF!</definedName>
    <definedName name="ыапоапо" localSheetId="7">#REF!</definedName>
    <definedName name="ыапоапо" localSheetId="14">#REF!</definedName>
    <definedName name="ыапоапо" localSheetId="17">#REF!</definedName>
    <definedName name="ыапоапо" localSheetId="15">#REF!</definedName>
    <definedName name="ыапоапо" localSheetId="18">#REF!</definedName>
    <definedName name="ыапоапо" localSheetId="16">#REF!</definedName>
    <definedName name="ыапоапо">#REF!</definedName>
    <definedName name="ыапоыпао" localSheetId="12">#REF!</definedName>
    <definedName name="ыапоыпао" localSheetId="7">#REF!</definedName>
    <definedName name="ыапоыпао" localSheetId="14">#REF!</definedName>
    <definedName name="ыапоыпао" localSheetId="17">#REF!</definedName>
    <definedName name="ыапоыпао" localSheetId="15">#REF!</definedName>
    <definedName name="ыапоыпао" localSheetId="18">#REF!</definedName>
    <definedName name="ыапоыпао" localSheetId="16">#REF!</definedName>
    <definedName name="ыапоыпао">#REF!</definedName>
    <definedName name="ыпаоапоы" localSheetId="12">#REF!</definedName>
    <definedName name="ыпаоапоы" localSheetId="7">#REF!</definedName>
    <definedName name="ыпаоапоы" localSheetId="14">#REF!</definedName>
    <definedName name="ыпаоапоы" localSheetId="17">#REF!</definedName>
    <definedName name="ыпаоапоы" localSheetId="15">#REF!</definedName>
    <definedName name="ыпаоапоы" localSheetId="18">#REF!</definedName>
    <definedName name="ыпаоапоы" localSheetId="16">#REF!</definedName>
    <definedName name="ыпаоапоы">#REF!</definedName>
    <definedName name="ыпаоыапо" localSheetId="12">[1]ПРОГНОЗ_1!#REF!</definedName>
    <definedName name="ыпаоыапо" localSheetId="14">[1]ПРОГНОЗ_1!#REF!</definedName>
    <definedName name="ыпаоыапо" localSheetId="17">[1]ПРОГНОЗ_1!#REF!</definedName>
    <definedName name="ыпаоыапо" localSheetId="15">[1]ПРОГНОЗ_1!#REF!</definedName>
    <definedName name="ыпаоыапо" localSheetId="18">[1]ПРОГНОЗ_1!#REF!</definedName>
    <definedName name="ыпаоыапо" localSheetId="16">[1]ПРОГНОЗ_1!#REF!</definedName>
    <definedName name="ыпаоыапо">[1]ПРОГНОЗ_1!#REF!</definedName>
  </definedNames>
  <calcPr calcId="162913" fullPrecision="0"/>
</workbook>
</file>

<file path=xl/calcChain.xml><?xml version="1.0" encoding="utf-8"?>
<calcChain xmlns="http://schemas.openxmlformats.org/spreadsheetml/2006/main">
  <c r="G57" i="538" l="1"/>
  <c r="H52" i="546" l="1"/>
  <c r="H20" i="546" s="1"/>
  <c r="M37" i="136" l="1"/>
  <c r="I37" i="136"/>
  <c r="K64" i="546"/>
  <c r="M60" i="136"/>
  <c r="I60" i="136"/>
  <c r="M30" i="136"/>
  <c r="I30" i="136"/>
  <c r="E30" i="136"/>
  <c r="I98" i="136"/>
  <c r="K29" i="546"/>
  <c r="H29" i="546"/>
  <c r="H33" i="546"/>
  <c r="H35" i="546"/>
  <c r="H42" i="546"/>
  <c r="H45" i="546"/>
  <c r="H48" i="546"/>
  <c r="H70" i="546" l="1"/>
  <c r="H64" i="546" s="1"/>
  <c r="K21" i="546"/>
  <c r="H21" i="546"/>
  <c r="K15" i="546"/>
  <c r="K70" i="546"/>
  <c r="J71" i="546"/>
  <c r="J69" i="546"/>
  <c r="G71" i="546"/>
  <c r="G66" i="546"/>
  <c r="J66" i="546"/>
  <c r="G69" i="546"/>
  <c r="K61" i="546"/>
  <c r="K60" i="546"/>
  <c r="H61" i="546"/>
  <c r="H60" i="546"/>
  <c r="H44" i="546"/>
  <c r="H73" i="546" l="1"/>
  <c r="J51" i="546" l="1"/>
  <c r="J50" i="546"/>
  <c r="I50" i="546"/>
  <c r="J49" i="546"/>
  <c r="G51" i="546"/>
  <c r="G50" i="546"/>
  <c r="F50" i="546"/>
  <c r="G49" i="546"/>
  <c r="J47" i="546"/>
  <c r="J46" i="546"/>
  <c r="G47" i="546"/>
  <c r="G46" i="546"/>
  <c r="J41" i="546"/>
  <c r="J40" i="546"/>
  <c r="J39" i="546"/>
  <c r="J38" i="546"/>
  <c r="J37" i="546"/>
  <c r="J36" i="546"/>
  <c r="G41" i="546"/>
  <c r="G40" i="546"/>
  <c r="G39" i="546"/>
  <c r="G38" i="546"/>
  <c r="G37" i="546"/>
  <c r="G36" i="546"/>
  <c r="K33" i="546"/>
  <c r="J34" i="546"/>
  <c r="G34" i="546"/>
  <c r="H10" i="546"/>
  <c r="H9" i="546" s="1"/>
  <c r="J32" i="546"/>
  <c r="J31" i="546"/>
  <c r="J30" i="546"/>
  <c r="G32" i="546"/>
  <c r="G31" i="546"/>
  <c r="G30" i="546"/>
  <c r="J23" i="546"/>
  <c r="J22" i="546"/>
  <c r="G23" i="546"/>
  <c r="G22" i="546"/>
  <c r="K18" i="546"/>
  <c r="K17" i="546" s="1"/>
  <c r="J19" i="546"/>
  <c r="G19" i="546"/>
  <c r="H18" i="546"/>
  <c r="H17" i="546" s="1"/>
  <c r="J16" i="546"/>
  <c r="G16" i="546"/>
  <c r="H15" i="546"/>
  <c r="J14" i="546"/>
  <c r="J13" i="546"/>
  <c r="J12" i="546"/>
  <c r="J11" i="546"/>
  <c r="G13" i="546"/>
  <c r="G12" i="546"/>
  <c r="G11" i="546"/>
  <c r="G54" i="546"/>
  <c r="I88" i="136" l="1"/>
  <c r="AF19" i="535"/>
  <c r="AH19" i="535"/>
  <c r="AG19" i="535"/>
  <c r="AF18" i="535"/>
  <c r="AG18" i="535" s="1"/>
  <c r="AH18" i="535" s="1"/>
  <c r="AF17" i="535"/>
  <c r="AG17" i="535" s="1"/>
  <c r="AH17" i="535" s="1"/>
  <c r="AF16" i="535"/>
  <c r="AG16" i="535" s="1"/>
  <c r="AH16" i="535" s="1"/>
  <c r="AF15" i="535"/>
  <c r="AG15" i="535" s="1"/>
  <c r="AH15" i="535" s="1"/>
  <c r="AF14" i="535"/>
  <c r="AG14" i="535" s="1"/>
  <c r="AH14" i="535" s="1"/>
  <c r="AE18" i="535"/>
  <c r="AE17" i="535"/>
  <c r="AE16" i="535"/>
  <c r="AE15" i="535"/>
  <c r="AE14" i="535"/>
  <c r="AB18" i="535"/>
  <c r="AB17" i="535"/>
  <c r="AB16" i="535"/>
  <c r="AB15" i="535"/>
  <c r="AB14" i="535"/>
  <c r="V18" i="535"/>
  <c r="V17" i="535"/>
  <c r="V16" i="535"/>
  <c r="V15" i="535"/>
  <c r="V14" i="535"/>
  <c r="S18" i="535"/>
  <c r="S17" i="535"/>
  <c r="S16" i="535"/>
  <c r="S15" i="535"/>
  <c r="S14" i="535"/>
  <c r="P18" i="535"/>
  <c r="P17" i="535"/>
  <c r="P16" i="535"/>
  <c r="P15" i="535"/>
  <c r="P14" i="535"/>
  <c r="M18" i="535"/>
  <c r="M17" i="535"/>
  <c r="M16" i="535"/>
  <c r="M15" i="535"/>
  <c r="M14" i="535"/>
  <c r="J18" i="535"/>
  <c r="J17" i="535"/>
  <c r="J16" i="535"/>
  <c r="J15" i="535"/>
  <c r="J14" i="535"/>
  <c r="F18" i="535"/>
  <c r="F17" i="535"/>
  <c r="F16" i="535"/>
  <c r="F15" i="535"/>
  <c r="F14" i="535"/>
  <c r="O48" i="535"/>
  <c r="K48" i="535"/>
  <c r="O46" i="535"/>
  <c r="K46" i="535"/>
  <c r="G48" i="535"/>
  <c r="G46" i="535"/>
  <c r="O69" i="538"/>
  <c r="K69" i="538"/>
  <c r="H68" i="538"/>
  <c r="G69" i="538"/>
  <c r="G67" i="538"/>
  <c r="H60" i="538"/>
  <c r="H59" i="538"/>
  <c r="H43" i="538"/>
  <c r="O33" i="538"/>
  <c r="K33" i="538"/>
  <c r="H32" i="538"/>
  <c r="G33" i="538"/>
  <c r="O25" i="538" l="1"/>
  <c r="K15" i="538" l="1"/>
  <c r="O15" i="538"/>
  <c r="G15" i="538"/>
  <c r="H14" i="538"/>
  <c r="G18" i="538"/>
  <c r="H17" i="538"/>
  <c r="H13" i="538" l="1"/>
  <c r="G12" i="538"/>
  <c r="G11" i="538"/>
  <c r="G10" i="538"/>
  <c r="I9" i="538"/>
  <c r="H9" i="538"/>
  <c r="H8" i="538" s="1"/>
  <c r="G72" i="546" l="1"/>
  <c r="N37" i="545" l="1"/>
  <c r="M37" i="545" s="1"/>
  <c r="M19" i="545" l="1"/>
  <c r="G19" i="545"/>
  <c r="G23" i="545"/>
  <c r="G16" i="537"/>
  <c r="G20" i="537"/>
  <c r="H10" i="537"/>
  <c r="K42" i="537"/>
  <c r="G42" i="537" s="1"/>
  <c r="C48" i="136"/>
  <c r="G13" i="537"/>
  <c r="G18" i="537"/>
  <c r="G22" i="537"/>
  <c r="G23" i="537"/>
  <c r="G24" i="537"/>
  <c r="G26" i="537"/>
  <c r="G27" i="537"/>
  <c r="G29" i="537"/>
  <c r="G30" i="537"/>
  <c r="G31" i="537"/>
  <c r="G32" i="537"/>
  <c r="G33" i="537"/>
  <c r="G34" i="537"/>
  <c r="G36" i="537"/>
  <c r="G37" i="537"/>
  <c r="G38" i="537"/>
  <c r="G40" i="537"/>
  <c r="G44" i="537"/>
  <c r="G50" i="537"/>
  <c r="G49" i="537"/>
  <c r="G48" i="537"/>
  <c r="G47" i="537"/>
  <c r="G52" i="537"/>
  <c r="G53" i="537"/>
  <c r="G57" i="537"/>
  <c r="P18" i="537" l="1"/>
  <c r="L26" i="177"/>
  <c r="K52" i="538" l="1"/>
  <c r="H66" i="538"/>
  <c r="I66" i="538"/>
  <c r="K21" i="538"/>
  <c r="M46" i="539"/>
  <c r="P57" i="537"/>
  <c r="P50" i="537"/>
  <c r="P47" i="537"/>
  <c r="P38" i="537"/>
  <c r="P36" i="537"/>
  <c r="P30" i="537"/>
  <c r="P31" i="537"/>
  <c r="P32" i="537"/>
  <c r="P33" i="537"/>
  <c r="P34" i="537"/>
  <c r="P29" i="537"/>
  <c r="P27" i="537"/>
  <c r="P26" i="537"/>
  <c r="P23" i="537"/>
  <c r="P24" i="537"/>
  <c r="P22" i="537"/>
  <c r="L42" i="537" l="1"/>
  <c r="G52" i="545" l="1"/>
  <c r="G51" i="545"/>
  <c r="G50" i="545"/>
  <c r="G55" i="545"/>
  <c r="G56" i="545"/>
  <c r="N57" i="545"/>
  <c r="L57" i="545"/>
  <c r="M57" i="545" s="1"/>
  <c r="M56" i="545"/>
  <c r="M55" i="545"/>
  <c r="H57" i="545"/>
  <c r="G57" i="545" s="1"/>
  <c r="F57" i="545"/>
  <c r="M52" i="545"/>
  <c r="M51" i="545"/>
  <c r="M50" i="545"/>
  <c r="F54" i="537"/>
  <c r="H54" i="537"/>
  <c r="P52" i="537" l="1"/>
  <c r="G54" i="537"/>
  <c r="M60" i="545"/>
  <c r="G60" i="545"/>
  <c r="L37" i="136"/>
  <c r="L81" i="136"/>
  <c r="Q62" i="545"/>
  <c r="O58" i="545"/>
  <c r="Q43" i="545"/>
  <c r="M43" i="545" s="1"/>
  <c r="N31" i="545"/>
  <c r="Q18" i="545"/>
  <c r="Q17" i="545" s="1"/>
  <c r="Q10" i="545"/>
  <c r="Q9" i="545" s="1"/>
  <c r="N11" i="545"/>
  <c r="N10" i="545"/>
  <c r="K26" i="177"/>
  <c r="L21" i="177"/>
  <c r="H81" i="136"/>
  <c r="J21" i="177"/>
  <c r="K62" i="545"/>
  <c r="I58" i="545"/>
  <c r="K43" i="545"/>
  <c r="G43" i="545" s="1"/>
  <c r="K18" i="545"/>
  <c r="K17" i="545" s="1"/>
  <c r="H37" i="545"/>
  <c r="K10" i="545"/>
  <c r="K9" i="545" s="1"/>
  <c r="K8" i="545" s="1"/>
  <c r="H10" i="545"/>
  <c r="G10" i="545" s="1"/>
  <c r="H11" i="545"/>
  <c r="H60" i="537"/>
  <c r="H19" i="537"/>
  <c r="K42" i="545" l="1"/>
  <c r="K20" i="545" s="1"/>
  <c r="K61" i="545" s="1"/>
  <c r="K63" i="545" s="1"/>
  <c r="Q42" i="545"/>
  <c r="L54" i="136" s="1"/>
  <c r="Q8" i="545"/>
  <c r="L11" i="136"/>
  <c r="Q20" i="545"/>
  <c r="H31" i="545"/>
  <c r="G37" i="545"/>
  <c r="M10" i="545"/>
  <c r="H28" i="537"/>
  <c r="C51" i="136" s="1"/>
  <c r="K60" i="537"/>
  <c r="F21" i="177"/>
  <c r="F19" i="177"/>
  <c r="F18" i="177"/>
  <c r="F20" i="177"/>
  <c r="F8" i="177"/>
  <c r="K15" i="537"/>
  <c r="K14" i="537" s="1"/>
  <c r="Q61" i="545" l="1"/>
  <c r="Q63" i="545" s="1"/>
  <c r="K41" i="537"/>
  <c r="P42" i="537"/>
  <c r="K17" i="537"/>
  <c r="L34" i="537"/>
  <c r="H25" i="537"/>
  <c r="C49" i="136" s="1"/>
  <c r="K10" i="537"/>
  <c r="H11" i="537"/>
  <c r="G11" i="537" s="1"/>
  <c r="K9" i="537" l="1"/>
  <c r="K8" i="537" s="1"/>
  <c r="K58" i="537" s="1"/>
  <c r="K62" i="537" s="1"/>
  <c r="G10" i="537"/>
  <c r="K61" i="537" l="1"/>
  <c r="G40" i="538" l="1"/>
  <c r="I12" i="537" l="1"/>
  <c r="O36" i="538" l="1"/>
  <c r="H28" i="538" l="1"/>
  <c r="K31" i="538"/>
  <c r="O37" i="538" l="1"/>
  <c r="H20" i="538" l="1"/>
  <c r="H44" i="538" l="1"/>
  <c r="L26" i="537" l="1"/>
  <c r="O38" i="538" l="1"/>
  <c r="H10" i="183"/>
  <c r="H60" i="539" s="1"/>
  <c r="K38" i="538" l="1"/>
  <c r="O39" i="538" l="1"/>
  <c r="K39" i="538"/>
  <c r="G39" i="538"/>
  <c r="O30" i="538" l="1"/>
  <c r="K30" i="538"/>
  <c r="G30" i="538"/>
  <c r="H34" i="538"/>
  <c r="E22" i="136" l="1"/>
  <c r="O21" i="538" l="1"/>
  <c r="G21" i="538" l="1"/>
  <c r="G23" i="538" l="1"/>
  <c r="H23" i="539" l="1"/>
  <c r="H56" i="539"/>
  <c r="E37" i="136" l="1"/>
  <c r="J16" i="538"/>
  <c r="H16" i="538"/>
  <c r="I17" i="538"/>
  <c r="I16" i="538" s="1"/>
  <c r="J20" i="538" l="1"/>
  <c r="J19" i="538" s="1"/>
  <c r="J8" i="538"/>
  <c r="J63" i="538"/>
  <c r="J71" i="538" l="1"/>
  <c r="E9" i="185" l="1"/>
  <c r="E8" i="185" s="1"/>
  <c r="O48" i="538" l="1"/>
  <c r="O13" i="538" l="1"/>
  <c r="H35" i="537" l="1"/>
  <c r="C52" i="136" s="1"/>
  <c r="H51" i="537"/>
  <c r="I68" i="538"/>
  <c r="H64" i="538"/>
  <c r="H63" i="538" s="1"/>
  <c r="I64" i="538"/>
  <c r="K70" i="538"/>
  <c r="K67" i="538"/>
  <c r="K65" i="538"/>
  <c r="O70" i="538" l="1"/>
  <c r="O67" i="538"/>
  <c r="O65" i="538"/>
  <c r="G70" i="538" l="1"/>
  <c r="H24" i="538" l="1"/>
  <c r="I24" i="538" l="1"/>
  <c r="E47" i="136" s="1"/>
  <c r="E60" i="136"/>
  <c r="I41" i="538"/>
  <c r="G38" i="538" l="1"/>
  <c r="O43" i="538"/>
  <c r="I51" i="538" l="1"/>
  <c r="I47" i="538"/>
  <c r="I44" i="538"/>
  <c r="I34" i="538"/>
  <c r="I28" i="538"/>
  <c r="I20" i="538"/>
  <c r="I8" i="538"/>
  <c r="I19" i="538" l="1"/>
  <c r="I63" i="538"/>
  <c r="I71" i="538" l="1"/>
  <c r="AC19" i="535" l="1"/>
  <c r="O29" i="538" l="1"/>
  <c r="G29" i="538"/>
  <c r="K29" i="538"/>
  <c r="O50" i="538" l="1"/>
  <c r="O46" i="538"/>
  <c r="K36" i="538"/>
  <c r="K37" i="538"/>
  <c r="O31" i="538"/>
  <c r="K13" i="538" l="1"/>
  <c r="K11" i="538"/>
  <c r="O11" i="538"/>
  <c r="L52" i="537"/>
  <c r="L30" i="537"/>
  <c r="L31" i="537"/>
  <c r="L32" i="537"/>
  <c r="L33" i="537"/>
  <c r="L18" i="537"/>
  <c r="K10" i="546" l="1"/>
  <c r="O42" i="538" l="1"/>
  <c r="O49" i="538" l="1"/>
  <c r="H47" i="538"/>
  <c r="E19" i="136"/>
  <c r="E18" i="136" s="1"/>
  <c r="G13" i="538"/>
  <c r="O22" i="538"/>
  <c r="E46" i="136" l="1"/>
  <c r="G53" i="538" l="1"/>
  <c r="G54" i="538"/>
  <c r="G55" i="538"/>
  <c r="G56" i="538"/>
  <c r="G58" i="538"/>
  <c r="G59" i="538"/>
  <c r="G61" i="538"/>
  <c r="G62" i="538"/>
  <c r="G52" i="538"/>
  <c r="G50" i="538"/>
  <c r="G46" i="538"/>
  <c r="G45" i="538"/>
  <c r="G42" i="538"/>
  <c r="G36" i="538"/>
  <c r="G37" i="538"/>
  <c r="G35" i="538"/>
  <c r="G31" i="538"/>
  <c r="G27" i="538"/>
  <c r="G26" i="538"/>
  <c r="G25" i="538"/>
  <c r="G22" i="538"/>
  <c r="J61" i="546" l="1"/>
  <c r="G61" i="546"/>
  <c r="J60" i="546"/>
  <c r="G60" i="546"/>
  <c r="J59" i="546"/>
  <c r="G59" i="546"/>
  <c r="J58" i="546"/>
  <c r="G58" i="546"/>
  <c r="J57" i="546"/>
  <c r="G57" i="546"/>
  <c r="J56" i="546"/>
  <c r="G56" i="546"/>
  <c r="J55" i="546"/>
  <c r="G55" i="546"/>
  <c r="J54" i="546"/>
  <c r="J53" i="546"/>
  <c r="G53" i="546"/>
  <c r="H51" i="538" l="1"/>
  <c r="G60" i="538"/>
  <c r="K52" i="546"/>
  <c r="K20" i="546" s="1"/>
  <c r="K56" i="136"/>
  <c r="G56" i="136"/>
  <c r="C56" i="136"/>
  <c r="M21" i="545"/>
  <c r="G21" i="545"/>
  <c r="O52" i="538" l="1"/>
  <c r="E58" i="136"/>
  <c r="M53" i="545"/>
  <c r="M47" i="545"/>
  <c r="M45" i="545"/>
  <c r="M41" i="545"/>
  <c r="M40" i="545"/>
  <c r="M39" i="545"/>
  <c r="M36" i="545"/>
  <c r="M35" i="545"/>
  <c r="M34" i="545"/>
  <c r="M33" i="545"/>
  <c r="M32" i="545"/>
  <c r="M30" i="545"/>
  <c r="M29" i="545"/>
  <c r="M27" i="545"/>
  <c r="M26" i="545"/>
  <c r="M25" i="545"/>
  <c r="M23" i="545"/>
  <c r="M16" i="545"/>
  <c r="M15" i="545"/>
  <c r="M13" i="545"/>
  <c r="M11" i="545"/>
  <c r="N24" i="545" l="1"/>
  <c r="H24" i="545"/>
  <c r="G27" i="545"/>
  <c r="G26" i="545"/>
  <c r="G25" i="545"/>
  <c r="I21" i="537"/>
  <c r="J21" i="537"/>
  <c r="H21" i="537"/>
  <c r="J62" i="546" l="1"/>
  <c r="J63" i="546"/>
  <c r="G62" i="546"/>
  <c r="M58" i="136" l="1"/>
  <c r="I58" i="136"/>
  <c r="J28" i="546"/>
  <c r="G14" i="546" l="1"/>
  <c r="K10" i="538"/>
  <c r="K9" i="546" l="1"/>
  <c r="I55" i="537" l="1"/>
  <c r="D81" i="136" s="1"/>
  <c r="H12" i="537" l="1"/>
  <c r="J12" i="537"/>
  <c r="K48" i="546" l="1"/>
  <c r="M57" i="136" s="1"/>
  <c r="I57" i="136"/>
  <c r="J72" i="546"/>
  <c r="G63" i="546"/>
  <c r="J44" i="546"/>
  <c r="J43" i="546"/>
  <c r="G44" i="546"/>
  <c r="G43" i="546"/>
  <c r="J27" i="546"/>
  <c r="J26" i="546"/>
  <c r="G27" i="546"/>
  <c r="G28" i="546"/>
  <c r="G26" i="546"/>
  <c r="J68" i="546"/>
  <c r="J67" i="546"/>
  <c r="K65" i="546"/>
  <c r="K45" i="546"/>
  <c r="K35" i="546"/>
  <c r="M53" i="136" s="1"/>
  <c r="M51" i="136"/>
  <c r="K25" i="546"/>
  <c r="M46" i="136"/>
  <c r="M19" i="136"/>
  <c r="AA209" i="546"/>
  <c r="G68" i="546"/>
  <c r="G67" i="546"/>
  <c r="H65" i="546"/>
  <c r="I54" i="136"/>
  <c r="I53" i="136"/>
  <c r="I51" i="136"/>
  <c r="H25" i="546"/>
  <c r="I46" i="136"/>
  <c r="I19" i="136"/>
  <c r="K43" i="538"/>
  <c r="K22" i="538"/>
  <c r="O10" i="538"/>
  <c r="G43" i="538" l="1"/>
  <c r="I47" i="136"/>
  <c r="M47" i="136"/>
  <c r="M69" i="136"/>
  <c r="M55" i="136"/>
  <c r="I55" i="136"/>
  <c r="I69" i="136"/>
  <c r="K42" i="546"/>
  <c r="M54" i="136" s="1"/>
  <c r="K73" i="546" l="1"/>
  <c r="I44" i="136"/>
  <c r="M44" i="136"/>
  <c r="K48" i="136" l="1"/>
  <c r="G48" i="136"/>
  <c r="K37" i="136"/>
  <c r="G37" i="136"/>
  <c r="L20" i="136"/>
  <c r="H20" i="136"/>
  <c r="G20" i="136"/>
  <c r="H9" i="545"/>
  <c r="G11" i="136" s="1"/>
  <c r="G53" i="545"/>
  <c r="G47" i="545"/>
  <c r="G45" i="545"/>
  <c r="G41" i="545"/>
  <c r="G40" i="545"/>
  <c r="G39" i="545"/>
  <c r="G36" i="545"/>
  <c r="G35" i="545"/>
  <c r="G34" i="545"/>
  <c r="G33" i="545"/>
  <c r="G32" i="545"/>
  <c r="G30" i="545"/>
  <c r="G29" i="545"/>
  <c r="G16" i="545"/>
  <c r="G15" i="545"/>
  <c r="G13" i="545"/>
  <c r="G11" i="545"/>
  <c r="P62" i="545"/>
  <c r="O62" i="545"/>
  <c r="N62" i="545"/>
  <c r="J62" i="545"/>
  <c r="I62" i="545"/>
  <c r="N28" i="545"/>
  <c r="P54" i="545"/>
  <c r="O54" i="545"/>
  <c r="N54" i="545"/>
  <c r="P49" i="545"/>
  <c r="O49" i="545"/>
  <c r="N49" i="545"/>
  <c r="P46" i="545"/>
  <c r="O46" i="545"/>
  <c r="N46" i="545"/>
  <c r="K55" i="136" s="1"/>
  <c r="P44" i="545"/>
  <c r="O44" i="545"/>
  <c r="N44" i="545"/>
  <c r="K53" i="136" s="1"/>
  <c r="P38" i="545"/>
  <c r="O38" i="545"/>
  <c r="N38" i="545"/>
  <c r="K52" i="136" s="1"/>
  <c r="P31" i="545"/>
  <c r="O31" i="545"/>
  <c r="K51" i="136"/>
  <c r="P28" i="545"/>
  <c r="O28" i="545"/>
  <c r="P24" i="545"/>
  <c r="O24" i="545"/>
  <c r="K47" i="136"/>
  <c r="P22" i="545"/>
  <c r="L46" i="136" s="1"/>
  <c r="L44" i="136" s="1"/>
  <c r="O22" i="545"/>
  <c r="N22" i="545"/>
  <c r="K46" i="136" s="1"/>
  <c r="P18" i="545"/>
  <c r="P17" i="545" s="1"/>
  <c r="O18" i="545"/>
  <c r="O17" i="545" s="1"/>
  <c r="N18" i="545"/>
  <c r="N17" i="545" s="1"/>
  <c r="P14" i="545"/>
  <c r="P12" i="545" s="1"/>
  <c r="O14" i="545"/>
  <c r="O12" i="545" s="1"/>
  <c r="N14" i="545"/>
  <c r="N12" i="545" s="1"/>
  <c r="P9" i="545"/>
  <c r="P8" i="545" s="1"/>
  <c r="O9" i="545"/>
  <c r="O8" i="545" s="1"/>
  <c r="N9" i="545"/>
  <c r="N8" i="545" s="1"/>
  <c r="AA193" i="545"/>
  <c r="J54" i="545"/>
  <c r="I54" i="545"/>
  <c r="H54" i="545"/>
  <c r="J49" i="545"/>
  <c r="I49" i="545"/>
  <c r="H49" i="545"/>
  <c r="J46" i="545"/>
  <c r="I46" i="545"/>
  <c r="H46" i="545"/>
  <c r="G55" i="136" s="1"/>
  <c r="J44" i="545"/>
  <c r="I44" i="545"/>
  <c r="H44" i="545"/>
  <c r="G53" i="136" s="1"/>
  <c r="J38" i="545"/>
  <c r="I38" i="545"/>
  <c r="H38" i="545"/>
  <c r="G52" i="136" s="1"/>
  <c r="J31" i="545"/>
  <c r="I31" i="545"/>
  <c r="G51" i="136"/>
  <c r="J28" i="545"/>
  <c r="I28" i="545"/>
  <c r="H28" i="545"/>
  <c r="J24" i="545"/>
  <c r="I24" i="545"/>
  <c r="G47" i="136"/>
  <c r="J22" i="545"/>
  <c r="H46" i="136" s="1"/>
  <c r="H44" i="136" s="1"/>
  <c r="I22" i="545"/>
  <c r="H22" i="545"/>
  <c r="G46" i="136" s="1"/>
  <c r="J18" i="545"/>
  <c r="J17" i="545" s="1"/>
  <c r="I18" i="545"/>
  <c r="I17" i="545" s="1"/>
  <c r="H18" i="545"/>
  <c r="H17" i="545" s="1"/>
  <c r="J14" i="545"/>
  <c r="J12" i="545" s="1"/>
  <c r="I14" i="545"/>
  <c r="I12" i="545" s="1"/>
  <c r="H14" i="545"/>
  <c r="H12" i="545" s="1"/>
  <c r="J9" i="545"/>
  <c r="J8" i="545" s="1"/>
  <c r="I9" i="545"/>
  <c r="I8" i="545" s="1"/>
  <c r="J19" i="537"/>
  <c r="I19" i="537"/>
  <c r="C46" i="136"/>
  <c r="H20" i="545" l="1"/>
  <c r="O20" i="545"/>
  <c r="P20" i="545"/>
  <c r="J20" i="545"/>
  <c r="I20" i="545"/>
  <c r="N20" i="545"/>
  <c r="P48" i="545"/>
  <c r="P61" i="545" s="1"/>
  <c r="H8" i="545"/>
  <c r="I48" i="545"/>
  <c r="K49" i="136"/>
  <c r="K44" i="136" s="1"/>
  <c r="G49" i="136"/>
  <c r="G44" i="136" s="1"/>
  <c r="O48" i="545"/>
  <c r="O61" i="545" s="1"/>
  <c r="D46" i="136"/>
  <c r="H48" i="545"/>
  <c r="G69" i="136" s="1"/>
  <c r="K11" i="136"/>
  <c r="N48" i="545"/>
  <c r="K69" i="136" s="1"/>
  <c r="J48" i="545"/>
  <c r="J61" i="545" l="1"/>
  <c r="O64" i="545"/>
  <c r="I61" i="545"/>
  <c r="I63" i="545" s="1"/>
  <c r="O63" i="545"/>
  <c r="N61" i="545"/>
  <c r="N63" i="545" s="1"/>
  <c r="H61" i="545"/>
  <c r="J63" i="545"/>
  <c r="P63" i="545"/>
  <c r="N64" i="545" l="1"/>
  <c r="J60" i="537" l="1"/>
  <c r="I60" i="537"/>
  <c r="J51" i="537"/>
  <c r="I51" i="537"/>
  <c r="AE19" i="535" l="1"/>
  <c r="Y15" i="535"/>
  <c r="Y17" i="535"/>
  <c r="Y14" i="535"/>
  <c r="Y16" i="535"/>
  <c r="E53" i="136" l="1"/>
  <c r="E59" i="535" l="1"/>
  <c r="M58" i="539" l="1"/>
  <c r="M57" i="539"/>
  <c r="M55" i="539"/>
  <c r="M54" i="539"/>
  <c r="M53" i="539"/>
  <c r="M52" i="539"/>
  <c r="M50" i="539"/>
  <c r="M48" i="539"/>
  <c r="M44" i="539"/>
  <c r="M43" i="539"/>
  <c r="M42" i="539"/>
  <c r="M41" i="539"/>
  <c r="M40" i="539"/>
  <c r="M36" i="539"/>
  <c r="M38" i="539"/>
  <c r="M37" i="539"/>
  <c r="M34" i="539"/>
  <c r="M32" i="539"/>
  <c r="M31" i="539"/>
  <c r="M30" i="539"/>
  <c r="M29" i="539"/>
  <c r="M28" i="539"/>
  <c r="M26" i="539"/>
  <c r="M24" i="539"/>
  <c r="M21" i="539"/>
  <c r="M18" i="539"/>
  <c r="M15" i="539"/>
  <c r="M14" i="539"/>
  <c r="M13" i="539"/>
  <c r="M11" i="539"/>
  <c r="M10" i="539"/>
  <c r="J58" i="539" l="1"/>
  <c r="J57" i="539"/>
  <c r="J48" i="539"/>
  <c r="L57" i="537" l="1"/>
  <c r="K50" i="538"/>
  <c r="H43" i="537" l="1"/>
  <c r="C55" i="136" s="1"/>
  <c r="E51" i="136" l="1"/>
  <c r="L117" i="519" l="1"/>
  <c r="G55" i="539" l="1"/>
  <c r="G54" i="539"/>
  <c r="G53" i="539"/>
  <c r="G52" i="539"/>
  <c r="G75" i="535" l="1"/>
  <c r="E34" i="174" s="1"/>
  <c r="F75" i="535"/>
  <c r="E75" i="535"/>
  <c r="D34" i="174" l="1"/>
  <c r="I72" i="538"/>
  <c r="I73" i="538" s="1"/>
  <c r="C34" i="174"/>
  <c r="H10" i="177" l="1"/>
  <c r="I10" i="177"/>
  <c r="E29" i="174" l="1"/>
  <c r="K98" i="136"/>
  <c r="H62" i="545"/>
  <c r="H63" i="545" s="1"/>
  <c r="G98" i="136"/>
  <c r="H64" i="545" s="1"/>
  <c r="H21" i="177" l="1"/>
  <c r="H23" i="177" s="1"/>
  <c r="O35" i="538" l="1"/>
  <c r="J43" i="539" l="1"/>
  <c r="G43" i="539"/>
  <c r="H41" i="538" l="1"/>
  <c r="H19" i="538" s="1"/>
  <c r="H71" i="538" s="1"/>
  <c r="K42" i="538"/>
  <c r="E54" i="136" l="1"/>
  <c r="Q37" i="535"/>
  <c r="E31" i="174" s="1"/>
  <c r="M37" i="535"/>
  <c r="D31" i="174" s="1"/>
  <c r="I29" i="535"/>
  <c r="I30" i="535"/>
  <c r="I31" i="535"/>
  <c r="I32" i="535"/>
  <c r="I33" i="535"/>
  <c r="I34" i="535"/>
  <c r="I35" i="535"/>
  <c r="I36" i="535"/>
  <c r="I28" i="535"/>
  <c r="I37" i="535" l="1"/>
  <c r="C31" i="174" s="1"/>
  <c r="I56" i="539" l="1"/>
  <c r="J52" i="539" l="1"/>
  <c r="J53" i="539"/>
  <c r="J54" i="539"/>
  <c r="J55" i="539"/>
  <c r="J41" i="539"/>
  <c r="J40" i="539"/>
  <c r="J24" i="539"/>
  <c r="J44" i="539" l="1"/>
  <c r="J42" i="539" l="1"/>
  <c r="D20" i="136" l="1"/>
  <c r="D18" i="136" s="1"/>
  <c r="G24" i="539" l="1"/>
  <c r="I23" i="539"/>
  <c r="H47" i="539"/>
  <c r="H51" i="539"/>
  <c r="H49" i="539"/>
  <c r="I51" i="539"/>
  <c r="I49" i="539"/>
  <c r="M49" i="539" s="1"/>
  <c r="I47" i="539"/>
  <c r="G50" i="539"/>
  <c r="G48" i="539"/>
  <c r="G44" i="539"/>
  <c r="G40" i="539"/>
  <c r="G41" i="539"/>
  <c r="G42" i="539"/>
  <c r="G49" i="538" l="1"/>
  <c r="G48" i="538"/>
  <c r="E55" i="136" l="1"/>
  <c r="J49" i="539" l="1"/>
  <c r="J46" i="539"/>
  <c r="J38" i="539"/>
  <c r="J33" i="539"/>
  <c r="J29" i="539"/>
  <c r="J30" i="539"/>
  <c r="J31" i="539"/>
  <c r="J32" i="539"/>
  <c r="J28" i="539"/>
  <c r="J25" i="539"/>
  <c r="J17" i="539"/>
  <c r="J15" i="539"/>
  <c r="J14" i="539"/>
  <c r="J13" i="539"/>
  <c r="K46" i="538"/>
  <c r="K48" i="538"/>
  <c r="K49" i="538"/>
  <c r="K35" i="538"/>
  <c r="K25" i="538"/>
  <c r="L50" i="537" l="1"/>
  <c r="L47" i="537"/>
  <c r="L38" i="537"/>
  <c r="L29" i="537"/>
  <c r="L27" i="537"/>
  <c r="L22" i="537"/>
  <c r="L114" i="519" l="1"/>
  <c r="Z19" i="535" l="1"/>
  <c r="W19" i="535"/>
  <c r="T19" i="535"/>
  <c r="Q19" i="535"/>
  <c r="N19" i="535"/>
  <c r="K19" i="535"/>
  <c r="H19" i="535"/>
  <c r="G19" i="535"/>
  <c r="J19" i="535" l="1"/>
  <c r="Y19" i="535"/>
  <c r="M19" i="535"/>
  <c r="V19" i="535"/>
  <c r="S19" i="535"/>
  <c r="AB19" i="535"/>
  <c r="P19" i="535"/>
  <c r="C30" i="174" l="1"/>
  <c r="D30" i="174"/>
  <c r="E30" i="174" l="1"/>
  <c r="H39" i="537"/>
  <c r="C53" i="136" l="1"/>
  <c r="H17" i="537"/>
  <c r="G63" i="136"/>
  <c r="D48" i="136"/>
  <c r="E57" i="136" l="1"/>
  <c r="E44" i="136" s="1"/>
  <c r="E63" i="136" s="1"/>
  <c r="K21" i="542"/>
  <c r="H21" i="542"/>
  <c r="G13" i="539"/>
  <c r="N88" i="519" l="1"/>
  <c r="M89" i="519"/>
  <c r="N89" i="519"/>
  <c r="E69" i="136" l="1"/>
  <c r="E45" i="174"/>
  <c r="D45" i="174"/>
  <c r="C45" i="174"/>
  <c r="E44" i="174"/>
  <c r="D44" i="174"/>
  <c r="C44" i="174"/>
  <c r="E42" i="174"/>
  <c r="D42" i="174"/>
  <c r="C42" i="174"/>
  <c r="I21" i="177" l="1"/>
  <c r="I23" i="177" s="1"/>
  <c r="G59" i="535"/>
  <c r="F59" i="535"/>
  <c r="E33" i="174" l="1"/>
  <c r="N43" i="519" s="1"/>
  <c r="D33" i="174"/>
  <c r="M43" i="519" s="1"/>
  <c r="M60" i="519" l="1"/>
  <c r="N62" i="519"/>
  <c r="M62" i="519"/>
  <c r="N51" i="519"/>
  <c r="M51" i="519"/>
  <c r="L51" i="519"/>
  <c r="N57" i="136" l="1"/>
  <c r="N46" i="136"/>
  <c r="J57" i="136"/>
  <c r="J46" i="136"/>
  <c r="K52" i="542"/>
  <c r="N58" i="136" s="1"/>
  <c r="K48" i="542"/>
  <c r="N59" i="136" s="1"/>
  <c r="K46" i="542"/>
  <c r="N55" i="136" s="1"/>
  <c r="K44" i="542"/>
  <c r="N54" i="136" s="1"/>
  <c r="K39" i="542"/>
  <c r="N53" i="136" s="1"/>
  <c r="K35" i="542"/>
  <c r="N52" i="136" s="1"/>
  <c r="K33" i="542"/>
  <c r="K27" i="542"/>
  <c r="N51" i="136" s="1"/>
  <c r="K25" i="542"/>
  <c r="N37" i="136"/>
  <c r="K18" i="542"/>
  <c r="N30" i="136" s="1"/>
  <c r="N19" i="136"/>
  <c r="K10" i="542"/>
  <c r="N11" i="136" s="1"/>
  <c r="X187" i="542"/>
  <c r="H52" i="542"/>
  <c r="J58" i="136" s="1"/>
  <c r="H48" i="542"/>
  <c r="J59" i="136" s="1"/>
  <c r="H46" i="542"/>
  <c r="J55" i="136" s="1"/>
  <c r="H44" i="542"/>
  <c r="J54" i="136" s="1"/>
  <c r="H39" i="542"/>
  <c r="J53" i="136" s="1"/>
  <c r="H35" i="542"/>
  <c r="J52" i="136" s="1"/>
  <c r="H33" i="542"/>
  <c r="H27" i="542"/>
  <c r="J51" i="136" s="1"/>
  <c r="H25" i="542"/>
  <c r="H20" i="542"/>
  <c r="H18" i="542"/>
  <c r="H17" i="542" s="1"/>
  <c r="J19" i="136"/>
  <c r="H10" i="542"/>
  <c r="J11" i="136" s="1"/>
  <c r="M88" i="519"/>
  <c r="K23" i="542" l="1"/>
  <c r="H23" i="542"/>
  <c r="J47" i="136"/>
  <c r="J44" i="136" s="1"/>
  <c r="N47" i="136"/>
  <c r="N44" i="136" s="1"/>
  <c r="K13" i="542"/>
  <c r="H13" i="542"/>
  <c r="H54" i="542" s="1"/>
  <c r="K20" i="542"/>
  <c r="K17" i="542"/>
  <c r="H9" i="542"/>
  <c r="J30" i="136"/>
  <c r="J37" i="136"/>
  <c r="K9" i="542"/>
  <c r="K54" i="542" l="1"/>
  <c r="H57" i="542"/>
  <c r="K57" i="542"/>
  <c r="I18" i="136" l="1"/>
  <c r="J18" i="136"/>
  <c r="M18" i="136"/>
  <c r="N18" i="136"/>
  <c r="L14" i="136" l="1"/>
  <c r="K18" i="136" l="1"/>
  <c r="L18" i="136"/>
  <c r="N68" i="519"/>
  <c r="N72" i="519"/>
  <c r="N71" i="519" s="1"/>
  <c r="N69" i="519" l="1"/>
  <c r="F57" i="136"/>
  <c r="I45" i="539"/>
  <c r="H45" i="539"/>
  <c r="G46" i="539"/>
  <c r="F46" i="136"/>
  <c r="G10" i="539"/>
  <c r="L89" i="519"/>
  <c r="L88" i="519"/>
  <c r="D88" i="136"/>
  <c r="D96" i="136" s="1"/>
  <c r="F88" i="136"/>
  <c r="F96" i="136" s="1"/>
  <c r="G88" i="136"/>
  <c r="H88" i="136"/>
  <c r="H96" i="136" s="1"/>
  <c r="I96" i="136"/>
  <c r="J88" i="136"/>
  <c r="J96" i="136" s="1"/>
  <c r="K88" i="136"/>
  <c r="K96" i="136" s="1"/>
  <c r="L88" i="136"/>
  <c r="L96" i="136" s="1"/>
  <c r="M88" i="136"/>
  <c r="M96" i="136" s="1"/>
  <c r="N88" i="136"/>
  <c r="N96" i="136" s="1"/>
  <c r="C88" i="136"/>
  <c r="C96" i="136" s="1"/>
  <c r="G96" i="136"/>
  <c r="F54" i="136" l="1"/>
  <c r="G18" i="136"/>
  <c r="M72" i="519"/>
  <c r="H14" i="136"/>
  <c r="L86" i="519"/>
  <c r="E88" i="136"/>
  <c r="E96" i="136" s="1"/>
  <c r="D77" i="136"/>
  <c r="C77" i="136"/>
  <c r="C84" i="136" s="1"/>
  <c r="E77" i="136"/>
  <c r="E84" i="136" s="1"/>
  <c r="F77" i="136"/>
  <c r="G77" i="136"/>
  <c r="H77" i="136"/>
  <c r="H84" i="136" s="1"/>
  <c r="I77" i="136"/>
  <c r="I84" i="136" s="1"/>
  <c r="J77" i="136"/>
  <c r="J84" i="136" s="1"/>
  <c r="K77" i="136"/>
  <c r="L77" i="136"/>
  <c r="L84" i="136" s="1"/>
  <c r="M77" i="136"/>
  <c r="M84" i="136" s="1"/>
  <c r="N77" i="136"/>
  <c r="N84" i="136" s="1"/>
  <c r="G58" i="539"/>
  <c r="G37" i="539"/>
  <c r="G38" i="539"/>
  <c r="G36" i="539"/>
  <c r="G34" i="539"/>
  <c r="G29" i="539"/>
  <c r="G30" i="539"/>
  <c r="G31" i="539"/>
  <c r="G32" i="539"/>
  <c r="G28" i="539"/>
  <c r="G26" i="539"/>
  <c r="G21" i="539"/>
  <c r="G18" i="539"/>
  <c r="G15" i="539"/>
  <c r="H63" i="136" l="1"/>
  <c r="F84" i="136"/>
  <c r="M68" i="519"/>
  <c r="G84" i="136"/>
  <c r="M81" i="519"/>
  <c r="K84" i="136"/>
  <c r="N81" i="519"/>
  <c r="D84" i="136"/>
  <c r="L81" i="519"/>
  <c r="Y191" i="539" l="1"/>
  <c r="I39" i="539"/>
  <c r="H39" i="539"/>
  <c r="I35" i="539"/>
  <c r="H35" i="539"/>
  <c r="I33" i="539"/>
  <c r="H33" i="539"/>
  <c r="I27" i="539"/>
  <c r="H27" i="539"/>
  <c r="I25" i="539"/>
  <c r="H25" i="539"/>
  <c r="M25" i="539" s="1"/>
  <c r="I20" i="539"/>
  <c r="I19" i="539" s="1"/>
  <c r="H20" i="539"/>
  <c r="I17" i="539"/>
  <c r="H17" i="539"/>
  <c r="I12" i="539"/>
  <c r="G14" i="539"/>
  <c r="F19" i="136"/>
  <c r="I9" i="539"/>
  <c r="I8" i="539" s="1"/>
  <c r="H9" i="539"/>
  <c r="M33" i="539" l="1"/>
  <c r="H16" i="539"/>
  <c r="M17" i="539"/>
  <c r="I22" i="539"/>
  <c r="F52" i="136"/>
  <c r="F58" i="136"/>
  <c r="F53" i="136"/>
  <c r="H22" i="539"/>
  <c r="F51" i="136"/>
  <c r="F55" i="136"/>
  <c r="F18" i="136"/>
  <c r="H12" i="539"/>
  <c r="F59" i="136"/>
  <c r="F30" i="136"/>
  <c r="F11" i="136"/>
  <c r="H8" i="539"/>
  <c r="F47" i="136"/>
  <c r="F37" i="136"/>
  <c r="H19" i="539"/>
  <c r="I16" i="539"/>
  <c r="F44" i="136" l="1"/>
  <c r="I59" i="539"/>
  <c r="I61" i="539" s="1"/>
  <c r="H59" i="539"/>
  <c r="H61" i="539" s="1"/>
  <c r="I10" i="183" l="1"/>
  <c r="I12" i="183" l="1"/>
  <c r="I16" i="183"/>
  <c r="AA207" i="538" l="1"/>
  <c r="E29" i="136" l="1"/>
  <c r="G21" i="177" l="1"/>
  <c r="G23" i="177" s="1"/>
  <c r="C67" i="174" s="1"/>
  <c r="F23" i="177"/>
  <c r="D98" i="136" s="1"/>
  <c r="F67" i="535"/>
  <c r="J82" i="535" s="1"/>
  <c r="G67" i="535"/>
  <c r="K82" i="535" s="1"/>
  <c r="E67" i="535"/>
  <c r="M47" i="519"/>
  <c r="H82" i="535" l="1"/>
  <c r="K75" i="546"/>
  <c r="M98" i="136"/>
  <c r="H75" i="546"/>
  <c r="H76" i="546" s="1"/>
  <c r="N42" i="519"/>
  <c r="M42" i="519"/>
  <c r="C66" i="174"/>
  <c r="C64" i="174" s="1"/>
  <c r="C71" i="174" s="1"/>
  <c r="C33" i="174"/>
  <c r="L43" i="519" s="1"/>
  <c r="L42" i="519"/>
  <c r="N47" i="519"/>
  <c r="H72" i="538" l="1"/>
  <c r="H73" i="538" s="1"/>
  <c r="K76" i="546"/>
  <c r="L47" i="519"/>
  <c r="H9" i="537"/>
  <c r="I43" i="537" l="1"/>
  <c r="J43" i="537"/>
  <c r="I39" i="537"/>
  <c r="J39" i="537"/>
  <c r="I35" i="537"/>
  <c r="J35" i="537"/>
  <c r="J28" i="537"/>
  <c r="I28" i="537"/>
  <c r="D51" i="136" l="1"/>
  <c r="D55" i="136"/>
  <c r="D52" i="136"/>
  <c r="D53" i="136"/>
  <c r="I25" i="537" l="1"/>
  <c r="I17" i="537" s="1"/>
  <c r="J25" i="537"/>
  <c r="J17" i="537" s="1"/>
  <c r="H46" i="537"/>
  <c r="H45" i="537" l="1"/>
  <c r="D49" i="136"/>
  <c r="E67" i="136"/>
  <c r="E73" i="136" s="1"/>
  <c r="F67" i="136"/>
  <c r="F73" i="136" s="1"/>
  <c r="G67" i="136"/>
  <c r="H67" i="136"/>
  <c r="H73" i="136" s="1"/>
  <c r="I67" i="136"/>
  <c r="I73" i="136" s="1"/>
  <c r="J67" i="136"/>
  <c r="J73" i="136" s="1"/>
  <c r="K67" i="136"/>
  <c r="L67" i="136"/>
  <c r="L73" i="136" s="1"/>
  <c r="M67" i="136"/>
  <c r="M73" i="136" s="1"/>
  <c r="N67" i="136"/>
  <c r="N73" i="136" s="1"/>
  <c r="J46" i="537"/>
  <c r="J45" i="537" s="1"/>
  <c r="I46" i="537"/>
  <c r="C69" i="136" l="1"/>
  <c r="D69" i="136"/>
  <c r="D67" i="136" s="1"/>
  <c r="D73" i="136" s="1"/>
  <c r="I45" i="537"/>
  <c r="M104" i="519"/>
  <c r="G73" i="136"/>
  <c r="K73" i="136"/>
  <c r="N104" i="519"/>
  <c r="C67" i="136"/>
  <c r="I15" i="537"/>
  <c r="I14" i="537" s="1"/>
  <c r="J15" i="537"/>
  <c r="J14" i="537" s="1"/>
  <c r="H15" i="537"/>
  <c r="C37" i="136" s="1"/>
  <c r="J9" i="537"/>
  <c r="J8" i="537" s="1"/>
  <c r="I9" i="537"/>
  <c r="I8" i="537" s="1"/>
  <c r="H8" i="537"/>
  <c r="C11" i="136" s="1"/>
  <c r="C47" i="136" l="1"/>
  <c r="C44" i="136" s="1"/>
  <c r="J58" i="537"/>
  <c r="J62" i="537" s="1"/>
  <c r="D14" i="136"/>
  <c r="I58" i="537"/>
  <c r="I62" i="537" s="1"/>
  <c r="D47" i="136"/>
  <c r="D44" i="136" s="1"/>
  <c r="C73" i="136"/>
  <c r="L104" i="519"/>
  <c r="H14" i="537"/>
  <c r="H58" i="537" s="1"/>
  <c r="C63" i="136" l="1"/>
  <c r="L72" i="519"/>
  <c r="L71" i="519" s="1"/>
  <c r="I61" i="537"/>
  <c r="G10" i="177"/>
  <c r="L31" i="519" s="1"/>
  <c r="L68" i="519"/>
  <c r="J61" i="537"/>
  <c r="I63" i="136" l="1"/>
  <c r="L63" i="136"/>
  <c r="I40" i="136"/>
  <c r="J40" i="136"/>
  <c r="K40" i="136"/>
  <c r="D40" i="136"/>
  <c r="E40" i="136"/>
  <c r="F40" i="136"/>
  <c r="G40" i="136"/>
  <c r="H40" i="136"/>
  <c r="L40" i="136"/>
  <c r="M40" i="136"/>
  <c r="N40" i="136"/>
  <c r="C40" i="136"/>
  <c r="D29" i="136"/>
  <c r="D33" i="136" s="1"/>
  <c r="E33" i="136"/>
  <c r="F29" i="136"/>
  <c r="G29" i="136"/>
  <c r="G97" i="136" s="1"/>
  <c r="G99" i="136" s="1"/>
  <c r="H29" i="136"/>
  <c r="H33" i="136" s="1"/>
  <c r="I29" i="136"/>
  <c r="I33" i="136" s="1"/>
  <c r="J29" i="136"/>
  <c r="K29" i="136"/>
  <c r="L29" i="136"/>
  <c r="L33" i="136" s="1"/>
  <c r="M29" i="136"/>
  <c r="M33" i="136" s="1"/>
  <c r="N29" i="136"/>
  <c r="C29" i="136"/>
  <c r="L25" i="136"/>
  <c r="F25" i="136"/>
  <c r="G25" i="136"/>
  <c r="I25" i="136"/>
  <c r="N25" i="136"/>
  <c r="M25" i="136"/>
  <c r="J25" i="136"/>
  <c r="K25" i="136"/>
  <c r="J33" i="136" l="1"/>
  <c r="J97" i="136"/>
  <c r="N33" i="136"/>
  <c r="N97" i="136"/>
  <c r="N99" i="136" s="1"/>
  <c r="F33" i="136"/>
  <c r="F97" i="136"/>
  <c r="D97" i="136"/>
  <c r="D99" i="136" s="1"/>
  <c r="K63" i="136"/>
  <c r="M63" i="136"/>
  <c r="P44" i="136"/>
  <c r="D63" i="136"/>
  <c r="K33" i="136"/>
  <c r="N70" i="519"/>
  <c r="G33" i="136"/>
  <c r="M70" i="519"/>
  <c r="M102" i="519"/>
  <c r="N102" i="519"/>
  <c r="C33" i="136"/>
  <c r="L70" i="519"/>
  <c r="L97" i="136"/>
  <c r="M97" i="136"/>
  <c r="M99" i="136" s="1"/>
  <c r="D25" i="136"/>
  <c r="F63" i="136"/>
  <c r="E25" i="136"/>
  <c r="N63" i="136"/>
  <c r="J63" i="136"/>
  <c r="K97" i="136"/>
  <c r="K99" i="136" s="1"/>
  <c r="I97" i="136"/>
  <c r="I99" i="136" s="1"/>
  <c r="C18" i="136"/>
  <c r="L69" i="519" s="1"/>
  <c r="C97" i="136" l="1"/>
  <c r="L67" i="519"/>
  <c r="C25" i="136"/>
  <c r="F64" i="174"/>
  <c r="F71" i="174" s="1"/>
  <c r="K21" i="177"/>
  <c r="K23" i="177" s="1"/>
  <c r="D67" i="174" s="1"/>
  <c r="L23" i="177"/>
  <c r="M21" i="177"/>
  <c r="M23" i="177" s="1"/>
  <c r="E67" i="174" s="1"/>
  <c r="L98" i="136" l="1"/>
  <c r="E73" i="174"/>
  <c r="F10" i="177"/>
  <c r="E66" i="174"/>
  <c r="E64" i="174" s="1"/>
  <c r="J23" i="177"/>
  <c r="L50" i="519"/>
  <c r="F52" i="174"/>
  <c r="F60" i="174" s="1"/>
  <c r="F41" i="174"/>
  <c r="F48" i="174" s="1"/>
  <c r="C41" i="174"/>
  <c r="E41" i="174"/>
  <c r="E48" i="174" s="1"/>
  <c r="D41" i="174"/>
  <c r="D48" i="174" s="1"/>
  <c r="F27" i="174"/>
  <c r="F37" i="174" s="1"/>
  <c r="L99" i="136" l="1"/>
  <c r="H98" i="136"/>
  <c r="C98" i="136"/>
  <c r="C99" i="136" s="1"/>
  <c r="H61" i="537"/>
  <c r="D73" i="174"/>
  <c r="H62" i="537"/>
  <c r="N50" i="519"/>
  <c r="D66" i="174"/>
  <c r="M50" i="519" s="1"/>
  <c r="E71" i="174"/>
  <c r="C48" i="174"/>
  <c r="D64" i="174" l="1"/>
  <c r="D71" i="174" s="1"/>
  <c r="AA187" i="537"/>
  <c r="L38" i="519" l="1"/>
  <c r="N38" i="519"/>
  <c r="M38" i="519"/>
  <c r="A2" i="136" l="1"/>
  <c r="A2" i="185"/>
  <c r="O26" i="519" l="1"/>
  <c r="D21" i="185" l="1"/>
  <c r="E21" i="185"/>
  <c r="F21" i="185"/>
  <c r="G21" i="185"/>
  <c r="H21" i="185"/>
  <c r="I21" i="185"/>
  <c r="J21" i="185"/>
  <c r="K21" i="185"/>
  <c r="L21" i="185"/>
  <c r="M21" i="185"/>
  <c r="N21" i="185"/>
  <c r="C21" i="185"/>
  <c r="J72" i="538" l="1"/>
  <c r="E98" i="136"/>
  <c r="L62" i="519"/>
  <c r="L60" i="519" s="1"/>
  <c r="L58" i="519" s="1"/>
  <c r="M56" i="519"/>
  <c r="M54" i="519" s="1"/>
  <c r="N56" i="519"/>
  <c r="N54" i="519" s="1"/>
  <c r="M58" i="519"/>
  <c r="N60" i="519"/>
  <c r="N58" i="519" s="1"/>
  <c r="L56" i="519"/>
  <c r="L54" i="519" s="1"/>
  <c r="L109" i="519" l="1"/>
  <c r="C10" i="174" l="1"/>
  <c r="L45" i="519" l="1"/>
  <c r="M45" i="519" l="1"/>
  <c r="N45" i="519"/>
  <c r="O34" i="519"/>
  <c r="L113" i="519" l="1"/>
  <c r="O71" i="519" l="1"/>
  <c r="O80" i="519"/>
  <c r="O79" i="519" s="1"/>
  <c r="N80" i="519"/>
  <c r="N79" i="519" s="1"/>
  <c r="M80" i="519"/>
  <c r="M79" i="519" s="1"/>
  <c r="M86" i="519"/>
  <c r="N86" i="519"/>
  <c r="O86" i="519"/>
  <c r="L90" i="519"/>
  <c r="M90" i="519"/>
  <c r="N90" i="519"/>
  <c r="O90" i="519"/>
  <c r="M97" i="519"/>
  <c r="N97" i="519"/>
  <c r="O97" i="519"/>
  <c r="L97" i="519"/>
  <c r="M105" i="519"/>
  <c r="N105" i="519"/>
  <c r="O105" i="519"/>
  <c r="O99" i="519" s="1"/>
  <c r="L105" i="519"/>
  <c r="M109" i="519"/>
  <c r="N109" i="519"/>
  <c r="O109" i="519"/>
  <c r="M113" i="519"/>
  <c r="N113" i="519"/>
  <c r="O113" i="519"/>
  <c r="O25" i="519" l="1"/>
  <c r="E14" i="136" l="1"/>
  <c r="F14" i="136"/>
  <c r="I14" i="136"/>
  <c r="J14" i="136"/>
  <c r="M14" i="136"/>
  <c r="N14" i="136"/>
  <c r="C14" i="136" l="1"/>
  <c r="G14" i="136" l="1"/>
  <c r="K14" i="136"/>
  <c r="M71" i="519" l="1"/>
  <c r="H12" i="183" l="1"/>
  <c r="F98" i="136" s="1"/>
  <c r="K10" i="183"/>
  <c r="J10" i="183"/>
  <c r="D57" i="174" l="1"/>
  <c r="M53" i="519" s="1"/>
  <c r="M48" i="519" s="1"/>
  <c r="J12" i="183"/>
  <c r="J98" i="136" s="1"/>
  <c r="J99" i="136" s="1"/>
  <c r="J16" i="183"/>
  <c r="E57" i="174"/>
  <c r="E52" i="174" s="1"/>
  <c r="E60" i="174" s="1"/>
  <c r="K12" i="183"/>
  <c r="K16" i="183"/>
  <c r="F99" i="136"/>
  <c r="C73" i="174"/>
  <c r="C57" i="174"/>
  <c r="C52" i="174" s="1"/>
  <c r="C60" i="174" s="1"/>
  <c r="D52" i="174"/>
  <c r="D60" i="174" s="1"/>
  <c r="L53" i="519" l="1"/>
  <c r="N53" i="519"/>
  <c r="N48" i="519" s="1"/>
  <c r="J7" i="180"/>
  <c r="I8" i="180"/>
  <c r="J8" i="180"/>
  <c r="K8" i="180"/>
  <c r="I9" i="180"/>
  <c r="J9" i="180"/>
  <c r="K9" i="180"/>
  <c r="K7" i="180"/>
  <c r="I7" i="180"/>
  <c r="D10" i="180"/>
  <c r="E10" i="180"/>
  <c r="F10" i="180"/>
  <c r="G10" i="180"/>
  <c r="H10" i="180"/>
  <c r="C10" i="180"/>
  <c r="J10" i="180" l="1"/>
  <c r="K10" i="180"/>
  <c r="I10" i="180"/>
  <c r="L80" i="519" l="1"/>
  <c r="L79" i="519" s="1"/>
  <c r="L48" i="519" l="1"/>
  <c r="M99" i="519" l="1"/>
  <c r="N67" i="519" l="1"/>
  <c r="F10" i="174" l="1"/>
  <c r="F23" i="174" s="1"/>
  <c r="K11" i="111"/>
  <c r="Q11" i="111" s="1"/>
  <c r="W11" i="111" s="1"/>
  <c r="L16" i="111"/>
  <c r="M16" i="111"/>
  <c r="N16" i="111"/>
  <c r="R16" i="111"/>
  <c r="S16" i="111"/>
  <c r="T16" i="111"/>
  <c r="H16" i="111"/>
  <c r="E16" i="111"/>
  <c r="D15" i="111"/>
  <c r="C15" i="111"/>
  <c r="D14" i="111"/>
  <c r="C14" i="111"/>
  <c r="D13" i="111"/>
  <c r="C13" i="111"/>
  <c r="G11" i="111"/>
  <c r="G16" i="111" s="1"/>
  <c r="F11" i="111"/>
  <c r="F16" i="111" s="1"/>
  <c r="D11" i="111"/>
  <c r="D12" i="111"/>
  <c r="C12" i="111"/>
  <c r="D10" i="111"/>
  <c r="C10" i="111"/>
  <c r="AE28" i="110"/>
  <c r="AD28" i="110"/>
  <c r="AB28" i="110"/>
  <c r="AA28" i="110"/>
  <c r="Y28" i="110"/>
  <c r="X28" i="110"/>
  <c r="N28" i="110"/>
  <c r="J28" i="110"/>
  <c r="I28" i="110"/>
  <c r="D28" i="110"/>
  <c r="C28" i="110"/>
  <c r="AS27" i="110"/>
  <c r="AF27" i="110"/>
  <c r="AC27" i="110"/>
  <c r="Z27" i="110"/>
  <c r="H27" i="110"/>
  <c r="G27" i="110"/>
  <c r="E27" i="110"/>
  <c r="F27" i="110" s="1"/>
  <c r="AS26" i="110"/>
  <c r="AF26" i="110"/>
  <c r="AC26" i="110"/>
  <c r="Z26" i="110"/>
  <c r="H26" i="110"/>
  <c r="G26" i="110"/>
  <c r="E26" i="110"/>
  <c r="F26" i="110" s="1"/>
  <c r="AS25" i="110"/>
  <c r="E25" i="110"/>
  <c r="F25" i="110" s="1"/>
  <c r="L25" i="110" s="1"/>
  <c r="M25" i="110" s="1"/>
  <c r="O25" i="110" s="1"/>
  <c r="P25" i="110" s="1"/>
  <c r="AS24" i="110"/>
  <c r="E24" i="110"/>
  <c r="F24" i="110" s="1"/>
  <c r="AS23" i="110"/>
  <c r="AF23" i="110"/>
  <c r="AC23" i="110"/>
  <c r="Z23" i="110"/>
  <c r="K23" i="110"/>
  <c r="H23" i="110"/>
  <c r="G23" i="110"/>
  <c r="E23" i="110"/>
  <c r="F23" i="110" s="1"/>
  <c r="L23" i="110" s="1"/>
  <c r="AS22" i="110"/>
  <c r="AF22" i="110"/>
  <c r="AC22" i="110"/>
  <c r="Z22" i="110"/>
  <c r="E22" i="110"/>
  <c r="F22" i="110" s="1"/>
  <c r="AS21" i="110"/>
  <c r="AF21" i="110"/>
  <c r="AC21" i="110"/>
  <c r="Z21" i="110"/>
  <c r="H21" i="110"/>
  <c r="E21" i="110"/>
  <c r="F21" i="110" s="1"/>
  <c r="L21" i="110" s="1"/>
  <c r="M21" i="110" s="1"/>
  <c r="O21" i="110" s="1"/>
  <c r="P21" i="110" s="1"/>
  <c r="AS20" i="110"/>
  <c r="AF20" i="110"/>
  <c r="AC20" i="110"/>
  <c r="Z20" i="110"/>
  <c r="E20" i="110"/>
  <c r="F20" i="110" s="1"/>
  <c r="AS19" i="110"/>
  <c r="AF19" i="110"/>
  <c r="AC19" i="110"/>
  <c r="Z19" i="110"/>
  <c r="H19" i="110"/>
  <c r="E19" i="110"/>
  <c r="F19" i="110" s="1"/>
  <c r="L19" i="110" s="1"/>
  <c r="AS18" i="110"/>
  <c r="AF18" i="110"/>
  <c r="AC18" i="110"/>
  <c r="Z18" i="110"/>
  <c r="K18" i="110"/>
  <c r="H18" i="110"/>
  <c r="E18" i="110"/>
  <c r="F18" i="110" s="1"/>
  <c r="AS17" i="110"/>
  <c r="AF17" i="110"/>
  <c r="AC17" i="110"/>
  <c r="Z17" i="110"/>
  <c r="H17" i="110"/>
  <c r="E17" i="110"/>
  <c r="F17" i="110" s="1"/>
  <c r="L17" i="110" s="1"/>
  <c r="M17" i="110" s="1"/>
  <c r="O17" i="110" s="1"/>
  <c r="P17" i="110" s="1"/>
  <c r="R17" i="110" s="1"/>
  <c r="AS16" i="110"/>
  <c r="AF16" i="110"/>
  <c r="AC16" i="110"/>
  <c r="Z16" i="110"/>
  <c r="E16" i="110"/>
  <c r="F16" i="110" s="1"/>
  <c r="L16" i="110" s="1"/>
  <c r="AS15" i="110"/>
  <c r="AF15" i="110"/>
  <c r="AC15" i="110"/>
  <c r="Z15" i="110"/>
  <c r="E15" i="110"/>
  <c r="F15" i="110" s="1"/>
  <c r="AS14" i="110"/>
  <c r="AO14" i="110"/>
  <c r="AF14" i="110"/>
  <c r="AC14" i="110"/>
  <c r="Z14" i="110"/>
  <c r="E14" i="110"/>
  <c r="F14" i="110" s="1"/>
  <c r="K14" i="110" s="1"/>
  <c r="AS13" i="110"/>
  <c r="AF13" i="110"/>
  <c r="AC13" i="110"/>
  <c r="Z13" i="110"/>
  <c r="K13" i="110"/>
  <c r="E13" i="110"/>
  <c r="F13" i="110" s="1"/>
  <c r="AS12" i="110"/>
  <c r="AF12" i="110"/>
  <c r="AC12" i="110"/>
  <c r="Z12" i="110"/>
  <c r="H12" i="110"/>
  <c r="E12" i="110"/>
  <c r="F12" i="110" s="1"/>
  <c r="L12" i="110" s="1"/>
  <c r="AS11" i="110"/>
  <c r="AF11" i="110"/>
  <c r="AC11" i="110"/>
  <c r="Z11" i="110"/>
  <c r="K11" i="110"/>
  <c r="H11" i="110"/>
  <c r="E11" i="110"/>
  <c r="F11" i="110" s="1"/>
  <c r="AS10" i="110"/>
  <c r="AO10" i="110"/>
  <c r="AF10" i="110"/>
  <c r="AC10" i="110"/>
  <c r="Z10" i="110"/>
  <c r="K10" i="110"/>
  <c r="H10" i="110"/>
  <c r="E10" i="110"/>
  <c r="F10" i="110" s="1"/>
  <c r="L10" i="110" s="1"/>
  <c r="AS9" i="110"/>
  <c r="AO9" i="110"/>
  <c r="AF9" i="110"/>
  <c r="AC9" i="110"/>
  <c r="Z9" i="110"/>
  <c r="E9" i="110"/>
  <c r="F9" i="110" s="1"/>
  <c r="AE25" i="109"/>
  <c r="AD25" i="109"/>
  <c r="AB25" i="109"/>
  <c r="AA25" i="109"/>
  <c r="Y25" i="109"/>
  <c r="X25" i="109"/>
  <c r="U25" i="109"/>
  <c r="I25" i="109"/>
  <c r="D25" i="109"/>
  <c r="C25" i="109"/>
  <c r="AS24" i="109"/>
  <c r="AF24" i="109"/>
  <c r="AC24" i="109"/>
  <c r="Z24" i="109"/>
  <c r="E24" i="109"/>
  <c r="F24" i="109" s="1"/>
  <c r="M24" i="109" s="1"/>
  <c r="O24" i="109" s="1"/>
  <c r="P24" i="109" s="1"/>
  <c r="AF23" i="109"/>
  <c r="AC23" i="109"/>
  <c r="Z23" i="109"/>
  <c r="E23" i="109"/>
  <c r="F23" i="109" s="1"/>
  <c r="AS22" i="109"/>
  <c r="AF22" i="109"/>
  <c r="AC22" i="109"/>
  <c r="Z22" i="109"/>
  <c r="H22" i="109"/>
  <c r="G22" i="109"/>
  <c r="G25" i="109" s="1"/>
  <c r="E22" i="109"/>
  <c r="F22" i="109" s="1"/>
  <c r="AS21" i="109"/>
  <c r="AF21" i="109"/>
  <c r="AC21" i="109"/>
  <c r="Z21" i="109"/>
  <c r="H21" i="109"/>
  <c r="E21" i="109"/>
  <c r="F21" i="109" s="1"/>
  <c r="L21" i="109" s="1"/>
  <c r="AF20" i="109"/>
  <c r="AC20" i="109"/>
  <c r="Z20" i="109"/>
  <c r="E20" i="109"/>
  <c r="F20" i="109" s="1"/>
  <c r="L20" i="109" s="1"/>
  <c r="M20" i="109" s="1"/>
  <c r="O20" i="109" s="1"/>
  <c r="P20" i="109" s="1"/>
  <c r="AF19" i="109"/>
  <c r="AC19" i="109"/>
  <c r="Z19" i="109"/>
  <c r="E19" i="109"/>
  <c r="F19" i="109" s="1"/>
  <c r="AF18" i="109"/>
  <c r="AC18" i="109"/>
  <c r="Z18" i="109"/>
  <c r="E18" i="109"/>
  <c r="F18" i="109" s="1"/>
  <c r="L18" i="109" s="1"/>
  <c r="AS17" i="109"/>
  <c r="AF17" i="109"/>
  <c r="AC17" i="109"/>
  <c r="Z17" i="109"/>
  <c r="K17" i="109"/>
  <c r="J17" i="109"/>
  <c r="J25" i="109" s="1"/>
  <c r="H17" i="109"/>
  <c r="E17" i="109"/>
  <c r="F17" i="109" s="1"/>
  <c r="AS16" i="109"/>
  <c r="AF16" i="109"/>
  <c r="AC16" i="109"/>
  <c r="Z16" i="109"/>
  <c r="H16" i="109"/>
  <c r="E16" i="109"/>
  <c r="F16" i="109" s="1"/>
  <c r="AS15" i="109"/>
  <c r="AF15" i="109"/>
  <c r="AC15" i="109"/>
  <c r="Z15" i="109"/>
  <c r="H15" i="109"/>
  <c r="E15" i="109"/>
  <c r="F15" i="109" s="1"/>
  <c r="L15" i="109" s="1"/>
  <c r="AS14" i="109"/>
  <c r="AF14" i="109"/>
  <c r="AC14" i="109"/>
  <c r="Z14" i="109"/>
  <c r="H14" i="109"/>
  <c r="E14" i="109"/>
  <c r="F14" i="109" s="1"/>
  <c r="K14" i="109" s="1"/>
  <c r="AS13" i="109"/>
  <c r="AF13" i="109"/>
  <c r="AC13" i="109"/>
  <c r="Z13" i="109"/>
  <c r="H13" i="109"/>
  <c r="E13" i="109"/>
  <c r="F13" i="109" s="1"/>
  <c r="K13" i="109" s="1"/>
  <c r="AS12" i="109"/>
  <c r="AF12" i="109"/>
  <c r="AC12" i="109"/>
  <c r="Z12" i="109"/>
  <c r="E12" i="109"/>
  <c r="F12" i="109" s="1"/>
  <c r="AS11" i="109"/>
  <c r="AO11" i="109"/>
  <c r="AF11" i="109"/>
  <c r="AC11" i="109"/>
  <c r="Z11" i="109"/>
  <c r="H11" i="109"/>
  <c r="E11" i="109"/>
  <c r="F11" i="109" s="1"/>
  <c r="AS10" i="109"/>
  <c r="AO10" i="109"/>
  <c r="AF10" i="109"/>
  <c r="AC10" i="109"/>
  <c r="Z10" i="109"/>
  <c r="E10" i="109"/>
  <c r="F10" i="109" s="1"/>
  <c r="K10" i="109" s="1"/>
  <c r="AS9" i="109"/>
  <c r="AO9" i="109"/>
  <c r="AF9" i="109"/>
  <c r="AC9" i="109"/>
  <c r="Z9" i="109"/>
  <c r="E9" i="109"/>
  <c r="U66" i="108"/>
  <c r="N66" i="108"/>
  <c r="J66" i="108"/>
  <c r="I66" i="108"/>
  <c r="H66" i="108"/>
  <c r="G66" i="108"/>
  <c r="D66" i="108"/>
  <c r="C66" i="108"/>
  <c r="U65" i="108"/>
  <c r="N65" i="108"/>
  <c r="I65" i="108"/>
  <c r="G65" i="108"/>
  <c r="D65" i="108"/>
  <c r="U64" i="108"/>
  <c r="U67" i="108" s="1"/>
  <c r="N64" i="108"/>
  <c r="J64" i="108"/>
  <c r="I64" i="108"/>
  <c r="H64" i="108"/>
  <c r="G64" i="108"/>
  <c r="D64" i="108"/>
  <c r="C64" i="108"/>
  <c r="J57" i="108"/>
  <c r="I57" i="108"/>
  <c r="AQ52" i="108"/>
  <c r="AE52" i="108"/>
  <c r="AD52" i="108"/>
  <c r="AB52" i="108"/>
  <c r="AA52" i="108"/>
  <c r="Y52" i="108"/>
  <c r="X52" i="108"/>
  <c r="U52" i="108"/>
  <c r="N52" i="108"/>
  <c r="I52" i="108"/>
  <c r="D52" i="108"/>
  <c r="AQ51" i="108"/>
  <c r="AF51" i="108"/>
  <c r="AC51" i="108"/>
  <c r="Z51" i="108"/>
  <c r="C51" i="108"/>
  <c r="E51" i="108" s="1"/>
  <c r="F51" i="108" s="1"/>
  <c r="AQ50" i="108"/>
  <c r="AF50" i="108"/>
  <c r="AC50" i="108"/>
  <c r="Z50" i="108"/>
  <c r="E50" i="108"/>
  <c r="F50" i="108" s="1"/>
  <c r="L50" i="108" s="1"/>
  <c r="M50" i="108" s="1"/>
  <c r="AQ49" i="108"/>
  <c r="AF49" i="108"/>
  <c r="AC49" i="108"/>
  <c r="Z49" i="108"/>
  <c r="G49" i="108"/>
  <c r="E49" i="108"/>
  <c r="F49" i="108" s="1"/>
  <c r="L49" i="108" s="1"/>
  <c r="AQ48" i="108"/>
  <c r="AF48" i="108"/>
  <c r="AC48" i="108"/>
  <c r="Z48" i="108"/>
  <c r="K48" i="108"/>
  <c r="G48" i="108"/>
  <c r="E48" i="108"/>
  <c r="F48" i="108" s="1"/>
  <c r="L48" i="108" s="1"/>
  <c r="AQ47" i="108"/>
  <c r="AF47" i="108"/>
  <c r="AC47" i="108"/>
  <c r="Z47" i="108"/>
  <c r="K47" i="108"/>
  <c r="G47" i="108"/>
  <c r="E47" i="108"/>
  <c r="F47" i="108" s="1"/>
  <c r="AQ46" i="108"/>
  <c r="AF46" i="108"/>
  <c r="AC46" i="108"/>
  <c r="Z46" i="108"/>
  <c r="H46" i="108"/>
  <c r="E46" i="108"/>
  <c r="F46" i="108" s="1"/>
  <c r="L46" i="108" s="1"/>
  <c r="AQ45" i="108"/>
  <c r="AF45" i="108"/>
  <c r="AC45" i="108"/>
  <c r="Z45" i="108"/>
  <c r="E45" i="108"/>
  <c r="F45" i="108" s="1"/>
  <c r="AQ44" i="108"/>
  <c r="AF44" i="108"/>
  <c r="AC44" i="108"/>
  <c r="Z44" i="108"/>
  <c r="G44" i="108"/>
  <c r="C44" i="108"/>
  <c r="E44" i="108" s="1"/>
  <c r="F44" i="108" s="1"/>
  <c r="L44" i="108" s="1"/>
  <c r="AO43" i="108"/>
  <c r="AF43" i="108"/>
  <c r="AC43" i="108"/>
  <c r="Z43" i="108"/>
  <c r="E43" i="108"/>
  <c r="F43" i="108" s="1"/>
  <c r="L43" i="108" s="1"/>
  <c r="AQ42" i="108"/>
  <c r="AG42" i="108"/>
  <c r="W42" i="108"/>
  <c r="AQ41" i="108"/>
  <c r="AF41" i="108"/>
  <c r="AC41" i="108"/>
  <c r="Z41" i="108"/>
  <c r="E41" i="108"/>
  <c r="F41" i="108" s="1"/>
  <c r="M41" i="108" s="1"/>
  <c r="AQ40" i="108"/>
  <c r="AF40" i="108"/>
  <c r="AC40" i="108"/>
  <c r="Z40" i="108"/>
  <c r="H40" i="108"/>
  <c r="E40" i="108"/>
  <c r="F40" i="108" s="1"/>
  <c r="AQ39" i="108"/>
  <c r="AF39" i="108"/>
  <c r="AC39" i="108"/>
  <c r="Z39" i="108"/>
  <c r="C39" i="108"/>
  <c r="E39" i="108" s="1"/>
  <c r="F39" i="108" s="1"/>
  <c r="M39" i="108" s="1"/>
  <c r="AQ38" i="108"/>
  <c r="AF38" i="108"/>
  <c r="AC38" i="108"/>
  <c r="Z38" i="108"/>
  <c r="E38" i="108"/>
  <c r="F38" i="108" s="1"/>
  <c r="M38" i="108" s="1"/>
  <c r="O38" i="108" s="1"/>
  <c r="P38" i="108" s="1"/>
  <c r="R38" i="108" s="1"/>
  <c r="AQ37" i="108"/>
  <c r="AF37" i="108"/>
  <c r="AC37" i="108"/>
  <c r="Z37" i="108"/>
  <c r="E37" i="108"/>
  <c r="F37" i="108" s="1"/>
  <c r="L37" i="108" s="1"/>
  <c r="M37" i="108" s="1"/>
  <c r="O37" i="108" s="1"/>
  <c r="P37" i="108" s="1"/>
  <c r="AQ36" i="108"/>
  <c r="AF36" i="108"/>
  <c r="AC36" i="108"/>
  <c r="Z36" i="108"/>
  <c r="E36" i="108"/>
  <c r="F36" i="108" s="1"/>
  <c r="AQ35" i="108"/>
  <c r="AF35" i="108"/>
  <c r="AC35" i="108"/>
  <c r="Z35" i="108"/>
  <c r="K35" i="108"/>
  <c r="E35" i="108"/>
  <c r="F35" i="108" s="1"/>
  <c r="AO34" i="108"/>
  <c r="AF34" i="108"/>
  <c r="AC34" i="108"/>
  <c r="Z34" i="108"/>
  <c r="K34" i="108"/>
  <c r="J34" i="108"/>
  <c r="E34" i="108"/>
  <c r="F34" i="108" s="1"/>
  <c r="L34" i="108" s="1"/>
  <c r="AQ33" i="108"/>
  <c r="AF33" i="108"/>
  <c r="AC33" i="108"/>
  <c r="Z33" i="108"/>
  <c r="K33" i="108"/>
  <c r="E33" i="108"/>
  <c r="F33" i="108" s="1"/>
  <c r="L33" i="108" s="1"/>
  <c r="M33" i="108" s="1"/>
  <c r="O33" i="108" s="1"/>
  <c r="P33" i="108" s="1"/>
  <c r="AO32" i="108"/>
  <c r="AF32" i="108"/>
  <c r="AC32" i="108"/>
  <c r="Z32" i="108"/>
  <c r="K32" i="108"/>
  <c r="E32" i="108"/>
  <c r="F32" i="108" s="1"/>
  <c r="AQ31" i="108"/>
  <c r="AF31" i="108"/>
  <c r="AC31" i="108"/>
  <c r="Z31" i="108"/>
  <c r="K31" i="108"/>
  <c r="E31" i="108"/>
  <c r="F31" i="108" s="1"/>
  <c r="L31" i="108" s="1"/>
  <c r="AQ30" i="108"/>
  <c r="AF30" i="108"/>
  <c r="AC30" i="108"/>
  <c r="Z30" i="108"/>
  <c r="K30" i="108"/>
  <c r="E30" i="108"/>
  <c r="F30" i="108" s="1"/>
  <c r="J30" i="108" s="1"/>
  <c r="AO29" i="108"/>
  <c r="AF29" i="108"/>
  <c r="AC29" i="108"/>
  <c r="Z29" i="108"/>
  <c r="K29" i="108"/>
  <c r="E29" i="108"/>
  <c r="F29" i="108" s="1"/>
  <c r="L29" i="108" s="1"/>
  <c r="M29" i="108" s="1"/>
  <c r="O29" i="108" s="1"/>
  <c r="P29" i="108" s="1"/>
  <c r="AO28" i="108"/>
  <c r="AF28" i="108"/>
  <c r="AC28" i="108"/>
  <c r="Z28" i="108"/>
  <c r="E28" i="108"/>
  <c r="F28" i="108" s="1"/>
  <c r="L28" i="108" s="1"/>
  <c r="AQ27" i="108"/>
  <c r="AF27" i="108"/>
  <c r="AC27" i="108"/>
  <c r="Z27" i="108"/>
  <c r="C27" i="108"/>
  <c r="E27" i="108" s="1"/>
  <c r="F27" i="108" s="1"/>
  <c r="AQ26" i="108"/>
  <c r="AF26" i="108"/>
  <c r="AC26" i="108"/>
  <c r="Z26" i="108"/>
  <c r="K26" i="108"/>
  <c r="E26" i="108"/>
  <c r="F26" i="108" s="1"/>
  <c r="L26" i="108" s="1"/>
  <c r="AQ25" i="108"/>
  <c r="AF25" i="108"/>
  <c r="AC25" i="108"/>
  <c r="Z25" i="108"/>
  <c r="E25" i="108"/>
  <c r="F25" i="108" s="1"/>
  <c r="K25" i="108" s="1"/>
  <c r="AQ24" i="108"/>
  <c r="AF24" i="108"/>
  <c r="AC24" i="108"/>
  <c r="Z24" i="108"/>
  <c r="E24" i="108"/>
  <c r="F24" i="108" s="1"/>
  <c r="K24" i="108" s="1"/>
  <c r="AQ23" i="108"/>
  <c r="AF23" i="108"/>
  <c r="AC23" i="108"/>
  <c r="Z23" i="108"/>
  <c r="E23" i="108"/>
  <c r="F23" i="108" s="1"/>
  <c r="AQ22" i="108"/>
  <c r="AF22" i="108"/>
  <c r="AC22" i="108"/>
  <c r="Z22" i="108"/>
  <c r="E22" i="108"/>
  <c r="F22" i="108" s="1"/>
  <c r="K22" i="108" s="1"/>
  <c r="AO21" i="108"/>
  <c r="AF21" i="108"/>
  <c r="AC21" i="108"/>
  <c r="Z21" i="108"/>
  <c r="K21" i="108"/>
  <c r="H21" i="108"/>
  <c r="E21" i="108"/>
  <c r="F21" i="108" s="1"/>
  <c r="L21" i="108" s="1"/>
  <c r="AO20" i="108"/>
  <c r="AF20" i="108"/>
  <c r="AC20" i="108"/>
  <c r="Z20" i="108"/>
  <c r="E20" i="108"/>
  <c r="AQ19" i="108"/>
  <c r="AF19" i="108"/>
  <c r="AC19" i="108"/>
  <c r="Z19" i="108"/>
  <c r="E19" i="108"/>
  <c r="F19" i="108" s="1"/>
  <c r="AQ18" i="108"/>
  <c r="AF18" i="108"/>
  <c r="AC18" i="108"/>
  <c r="Z18" i="108"/>
  <c r="K18" i="108"/>
  <c r="E18" i="108"/>
  <c r="AQ17" i="108"/>
  <c r="AF17" i="108"/>
  <c r="AC17" i="108"/>
  <c r="Z17" i="108"/>
  <c r="E17" i="108"/>
  <c r="F17" i="108" s="1"/>
  <c r="AO16" i="108"/>
  <c r="AF16" i="108"/>
  <c r="AC16" i="108"/>
  <c r="Z16" i="108"/>
  <c r="E16" i="108"/>
  <c r="F16" i="108" s="1"/>
  <c r="AO15" i="108"/>
  <c r="AF15" i="108"/>
  <c r="AC15" i="108"/>
  <c r="AG15" i="108" s="1"/>
  <c r="AH15" i="108" s="1"/>
  <c r="Z15" i="108"/>
  <c r="E15" i="108"/>
  <c r="F15" i="108" s="1"/>
  <c r="AO14" i="108"/>
  <c r="AF14" i="108"/>
  <c r="AC14" i="108"/>
  <c r="Z14" i="108"/>
  <c r="H14" i="108"/>
  <c r="E14" i="108"/>
  <c r="F14" i="108" s="1"/>
  <c r="L14" i="108" s="1"/>
  <c r="AQ13" i="108"/>
  <c r="AF13" i="108"/>
  <c r="AC13" i="108"/>
  <c r="Z13" i="108"/>
  <c r="K13" i="108"/>
  <c r="H13" i="108"/>
  <c r="E13" i="108"/>
  <c r="AO12" i="108"/>
  <c r="AF12" i="108"/>
  <c r="AC12" i="108"/>
  <c r="Z12" i="108"/>
  <c r="E12" i="108"/>
  <c r="AO11" i="108"/>
  <c r="AF11" i="108"/>
  <c r="AC11" i="108"/>
  <c r="Z11" i="108"/>
  <c r="E11" i="108"/>
  <c r="F11" i="108" s="1"/>
  <c r="AO10" i="108"/>
  <c r="AF10" i="108"/>
  <c r="AC10" i="108"/>
  <c r="Z10" i="108"/>
  <c r="E10" i="108"/>
  <c r="F10" i="108" s="1"/>
  <c r="K10" i="108" s="1"/>
  <c r="AO9" i="108"/>
  <c r="AF9" i="108"/>
  <c r="AC9" i="108"/>
  <c r="Z9" i="108"/>
  <c r="E9" i="108"/>
  <c r="F9" i="108" s="1"/>
  <c r="L9" i="108" s="1"/>
  <c r="G28" i="107"/>
  <c r="AE23" i="107"/>
  <c r="AD23" i="107"/>
  <c r="AB23" i="107"/>
  <c r="AA23" i="107"/>
  <c r="Y23" i="107"/>
  <c r="X23" i="107"/>
  <c r="U23" i="107"/>
  <c r="H23" i="107"/>
  <c r="G23" i="107"/>
  <c r="D23" i="107"/>
  <c r="AS22" i="107"/>
  <c r="AF22" i="107"/>
  <c r="AC22" i="107"/>
  <c r="Z22" i="107"/>
  <c r="C22" i="107"/>
  <c r="E22" i="107" s="1"/>
  <c r="F22" i="107" s="1"/>
  <c r="M22" i="107" s="1"/>
  <c r="AS21" i="107"/>
  <c r="AF21" i="107"/>
  <c r="AC21" i="107"/>
  <c r="Z21" i="107"/>
  <c r="K21" i="107"/>
  <c r="E21" i="107"/>
  <c r="F21" i="107" s="1"/>
  <c r="AS20" i="107"/>
  <c r="AF20" i="107"/>
  <c r="AC20" i="107"/>
  <c r="Z20" i="107"/>
  <c r="K20" i="107"/>
  <c r="J20" i="107"/>
  <c r="E20" i="107"/>
  <c r="F20" i="107" s="1"/>
  <c r="L20" i="107" s="1"/>
  <c r="AS19" i="107"/>
  <c r="AF19" i="107"/>
  <c r="AC19" i="107"/>
  <c r="Z19" i="107"/>
  <c r="E19" i="107"/>
  <c r="F19" i="107" s="1"/>
  <c r="AS18" i="107"/>
  <c r="AF18" i="107"/>
  <c r="AC18" i="107"/>
  <c r="Z18" i="107"/>
  <c r="E18" i="107"/>
  <c r="F18" i="107" s="1"/>
  <c r="AS17" i="107"/>
  <c r="AF17" i="107"/>
  <c r="AC17" i="107"/>
  <c r="Z17" i="107"/>
  <c r="K17" i="107"/>
  <c r="J17" i="107"/>
  <c r="E17" i="107"/>
  <c r="F17" i="107" s="1"/>
  <c r="L17" i="107" s="1"/>
  <c r="AS16" i="107"/>
  <c r="AF16" i="107"/>
  <c r="AC16" i="107"/>
  <c r="Z16" i="107"/>
  <c r="K16" i="107"/>
  <c r="J16" i="107"/>
  <c r="E16" i="107"/>
  <c r="F16" i="107" s="1"/>
  <c r="L16" i="107" s="1"/>
  <c r="AS15" i="107"/>
  <c r="AF15" i="107"/>
  <c r="AC15" i="107"/>
  <c r="Z15" i="107"/>
  <c r="K15" i="107"/>
  <c r="J15" i="107"/>
  <c r="C15" i="107"/>
  <c r="E15" i="107" s="1"/>
  <c r="F15" i="107" s="1"/>
  <c r="AS14" i="107"/>
  <c r="AF14" i="107"/>
  <c r="AC14" i="107"/>
  <c r="Z14" i="107"/>
  <c r="K14" i="107"/>
  <c r="E14" i="107"/>
  <c r="F14" i="107" s="1"/>
  <c r="AS13" i="107"/>
  <c r="AF13" i="107"/>
  <c r="AC13" i="107"/>
  <c r="Z13" i="107"/>
  <c r="K13" i="107"/>
  <c r="E13" i="107"/>
  <c r="F13" i="107" s="1"/>
  <c r="L13" i="107" s="1"/>
  <c r="AS12" i="107"/>
  <c r="AF12" i="107"/>
  <c r="AC12" i="107"/>
  <c r="Z12" i="107"/>
  <c r="E12" i="107"/>
  <c r="F12" i="107" s="1"/>
  <c r="AS11" i="107"/>
  <c r="AF11" i="107"/>
  <c r="AC11" i="107"/>
  <c r="Z11" i="107"/>
  <c r="K11" i="107"/>
  <c r="E11" i="107"/>
  <c r="AS10" i="107"/>
  <c r="AO10" i="107"/>
  <c r="AF10" i="107"/>
  <c r="AC10" i="107"/>
  <c r="Z10" i="107"/>
  <c r="K10" i="107"/>
  <c r="I10" i="107"/>
  <c r="I23" i="107" s="1"/>
  <c r="E10" i="107"/>
  <c r="F10" i="107" s="1"/>
  <c r="L10" i="107" s="1"/>
  <c r="AS9" i="107"/>
  <c r="AO9" i="107"/>
  <c r="AF9" i="107"/>
  <c r="AC9" i="107"/>
  <c r="Z9" i="107"/>
  <c r="E9" i="107"/>
  <c r="F9" i="107" s="1"/>
  <c r="K9" i="107" s="1"/>
  <c r="AE21" i="106"/>
  <c r="AD21" i="106"/>
  <c r="AB21" i="106"/>
  <c r="AA21" i="106"/>
  <c r="Y21" i="106"/>
  <c r="X21" i="106"/>
  <c r="U21" i="106"/>
  <c r="J21" i="106"/>
  <c r="I21" i="106"/>
  <c r="D21" i="106"/>
  <c r="C21" i="106"/>
  <c r="AF20" i="106"/>
  <c r="AC20" i="106"/>
  <c r="Z20" i="106"/>
  <c r="H20" i="106"/>
  <c r="G20" i="106"/>
  <c r="E20" i="106"/>
  <c r="F20" i="106" s="1"/>
  <c r="AF19" i="106"/>
  <c r="AC19" i="106"/>
  <c r="Z19" i="106"/>
  <c r="E19" i="106"/>
  <c r="F19" i="106" s="1"/>
  <c r="L19" i="106" s="1"/>
  <c r="AF18" i="106"/>
  <c r="AC18" i="106"/>
  <c r="Z18" i="106"/>
  <c r="H18" i="106"/>
  <c r="G18" i="106"/>
  <c r="E18" i="106"/>
  <c r="F18" i="106" s="1"/>
  <c r="AF17" i="106"/>
  <c r="AC17" i="106"/>
  <c r="Z17" i="106"/>
  <c r="E17" i="106"/>
  <c r="F17" i="106" s="1"/>
  <c r="L17" i="106" s="1"/>
  <c r="AF16" i="106"/>
  <c r="AC16" i="106"/>
  <c r="Z16" i="106"/>
  <c r="H16" i="106"/>
  <c r="G16" i="106"/>
  <c r="E16" i="106"/>
  <c r="F16" i="106" s="1"/>
  <c r="AF15" i="106"/>
  <c r="AC15" i="106"/>
  <c r="Z15" i="106"/>
  <c r="K15" i="106"/>
  <c r="E15" i="106"/>
  <c r="F15" i="106" s="1"/>
  <c r="L15" i="106" s="1"/>
  <c r="AF14" i="106"/>
  <c r="AC14" i="106"/>
  <c r="Z14" i="106"/>
  <c r="E14" i="106"/>
  <c r="F14" i="106" s="1"/>
  <c r="L14" i="106" s="1"/>
  <c r="AF13" i="106"/>
  <c r="AC13" i="106"/>
  <c r="Z13" i="106"/>
  <c r="E13" i="106"/>
  <c r="F13" i="106" s="1"/>
  <c r="L13" i="106" s="1"/>
  <c r="AF12" i="106"/>
  <c r="AC12" i="106"/>
  <c r="Z12" i="106"/>
  <c r="E12" i="106"/>
  <c r="F12" i="106" s="1"/>
  <c r="AF11" i="106"/>
  <c r="AC11" i="106"/>
  <c r="Z11" i="106"/>
  <c r="E11" i="106"/>
  <c r="F11" i="106" s="1"/>
  <c r="AO10" i="106"/>
  <c r="AF10" i="106"/>
  <c r="AC10" i="106"/>
  <c r="Z10" i="106"/>
  <c r="E10" i="106"/>
  <c r="F10" i="106" s="1"/>
  <c r="L10" i="106" s="1"/>
  <c r="AO9" i="106"/>
  <c r="AF9" i="106"/>
  <c r="AC9" i="106"/>
  <c r="Z9" i="106"/>
  <c r="K9" i="106"/>
  <c r="E9" i="106"/>
  <c r="AE28" i="105"/>
  <c r="AD28" i="105"/>
  <c r="AB28" i="105"/>
  <c r="AA28" i="105"/>
  <c r="Y28" i="105"/>
  <c r="X28" i="105"/>
  <c r="U28" i="105"/>
  <c r="N28" i="105"/>
  <c r="J28" i="105"/>
  <c r="I28" i="105"/>
  <c r="G28" i="105"/>
  <c r="D28" i="105"/>
  <c r="C28" i="105"/>
  <c r="AL27" i="105"/>
  <c r="AF27" i="105"/>
  <c r="AC27" i="105"/>
  <c r="Z27" i="105"/>
  <c r="H27" i="105"/>
  <c r="E27" i="105"/>
  <c r="F27" i="105" s="1"/>
  <c r="AL26" i="105"/>
  <c r="AF26" i="105"/>
  <c r="AC26" i="105"/>
  <c r="Z26" i="105"/>
  <c r="H26" i="105"/>
  <c r="E26" i="105"/>
  <c r="F26" i="105" s="1"/>
  <c r="AL25" i="105"/>
  <c r="AF25" i="105"/>
  <c r="AC25" i="105"/>
  <c r="Z25" i="105"/>
  <c r="H25" i="105"/>
  <c r="E25" i="105"/>
  <c r="F25" i="105" s="1"/>
  <c r="AL24" i="105"/>
  <c r="AF24" i="105"/>
  <c r="AC24" i="105"/>
  <c r="Z24" i="105"/>
  <c r="K24" i="105"/>
  <c r="H24" i="105"/>
  <c r="E24" i="105"/>
  <c r="F24" i="105" s="1"/>
  <c r="L24" i="105" s="1"/>
  <c r="AL23" i="105"/>
  <c r="AF23" i="105"/>
  <c r="AC23" i="105"/>
  <c r="Z23" i="105"/>
  <c r="E23" i="105"/>
  <c r="F23" i="105" s="1"/>
  <c r="L23" i="105" s="1"/>
  <c r="AL22" i="105"/>
  <c r="AF22" i="105"/>
  <c r="AC22" i="105"/>
  <c r="Z22" i="105"/>
  <c r="K22" i="105"/>
  <c r="H22" i="105"/>
  <c r="E22" i="105"/>
  <c r="F22" i="105" s="1"/>
  <c r="AL21" i="105"/>
  <c r="AF21" i="105"/>
  <c r="AC21" i="105"/>
  <c r="Z21" i="105"/>
  <c r="H21" i="105"/>
  <c r="E21" i="105"/>
  <c r="F21" i="105" s="1"/>
  <c r="L21" i="105" s="1"/>
  <c r="AL20" i="105"/>
  <c r="AF20" i="105"/>
  <c r="AC20" i="105"/>
  <c r="Z20" i="105"/>
  <c r="K20" i="105"/>
  <c r="H20" i="105"/>
  <c r="E20" i="105"/>
  <c r="F20" i="105" s="1"/>
  <c r="L20" i="105" s="1"/>
  <c r="AL19" i="105"/>
  <c r="AF19" i="105"/>
  <c r="AC19" i="105"/>
  <c r="Z19" i="105"/>
  <c r="K19" i="105"/>
  <c r="H19" i="105"/>
  <c r="E19" i="105"/>
  <c r="F19" i="105" s="1"/>
  <c r="AL18" i="105"/>
  <c r="AF18" i="105"/>
  <c r="AC18" i="105"/>
  <c r="Z18" i="105"/>
  <c r="H18" i="105"/>
  <c r="E18" i="105"/>
  <c r="F18" i="105" s="1"/>
  <c r="AL17" i="105"/>
  <c r="AF17" i="105"/>
  <c r="AC17" i="105"/>
  <c r="Z17" i="105"/>
  <c r="K17" i="105"/>
  <c r="H17" i="105"/>
  <c r="E17" i="105"/>
  <c r="F17" i="105" s="1"/>
  <c r="AL16" i="105"/>
  <c r="AF16" i="105"/>
  <c r="AC16" i="105"/>
  <c r="Z16" i="105"/>
  <c r="K16" i="105"/>
  <c r="H16" i="105"/>
  <c r="E16" i="105"/>
  <c r="F16" i="105" s="1"/>
  <c r="L16" i="105" s="1"/>
  <c r="AL15" i="105"/>
  <c r="AF15" i="105"/>
  <c r="AC15" i="105"/>
  <c r="Z15" i="105"/>
  <c r="H15" i="105"/>
  <c r="E15" i="105"/>
  <c r="F15" i="105" s="1"/>
  <c r="K15" i="105" s="1"/>
  <c r="AL14" i="105"/>
  <c r="AF14" i="105"/>
  <c r="AC14" i="105"/>
  <c r="Z14" i="105"/>
  <c r="H14" i="105"/>
  <c r="E14" i="105"/>
  <c r="F14" i="105" s="1"/>
  <c r="L14" i="105" s="1"/>
  <c r="AL13" i="105"/>
  <c r="AF13" i="105"/>
  <c r="AC13" i="105"/>
  <c r="Z13" i="105"/>
  <c r="H13" i="105"/>
  <c r="E13" i="105"/>
  <c r="F13" i="105" s="1"/>
  <c r="AL12" i="105"/>
  <c r="AF12" i="105"/>
  <c r="AC12" i="105"/>
  <c r="Z12" i="105"/>
  <c r="H12" i="105"/>
  <c r="E12" i="105"/>
  <c r="F12" i="105" s="1"/>
  <c r="L12" i="105" s="1"/>
  <c r="AL11" i="105"/>
  <c r="AF11" i="105"/>
  <c r="AC11" i="105"/>
  <c r="Z11" i="105"/>
  <c r="K11" i="105"/>
  <c r="H11" i="105"/>
  <c r="E11" i="105"/>
  <c r="F11" i="105" s="1"/>
  <c r="AL10" i="105"/>
  <c r="AF10" i="105"/>
  <c r="AC10" i="105"/>
  <c r="Z10" i="105"/>
  <c r="K10" i="105"/>
  <c r="E10" i="105"/>
  <c r="F10" i="105" s="1"/>
  <c r="L10" i="105" s="1"/>
  <c r="AL9" i="105"/>
  <c r="AF9" i="105"/>
  <c r="AC9" i="105"/>
  <c r="Z9" i="105"/>
  <c r="K9" i="105"/>
  <c r="E9" i="105"/>
  <c r="F9" i="105" s="1"/>
  <c r="AE28" i="104"/>
  <c r="AD28" i="104"/>
  <c r="AB28" i="104"/>
  <c r="AA28" i="104"/>
  <c r="Y28" i="104"/>
  <c r="X28" i="104"/>
  <c r="N28" i="104"/>
  <c r="J28" i="104"/>
  <c r="I28" i="104"/>
  <c r="D28" i="104"/>
  <c r="C28" i="104"/>
  <c r="AS27" i="104"/>
  <c r="AF27" i="104"/>
  <c r="AC27" i="104"/>
  <c r="Z27" i="104"/>
  <c r="H27" i="104"/>
  <c r="G27" i="104"/>
  <c r="E27" i="104"/>
  <c r="F27" i="104" s="1"/>
  <c r="AS26" i="104"/>
  <c r="AF26" i="104"/>
  <c r="AC26" i="104"/>
  <c r="Z26" i="104"/>
  <c r="H26" i="104"/>
  <c r="G26" i="104"/>
  <c r="E26" i="104"/>
  <c r="F26" i="104" s="1"/>
  <c r="AS25" i="104"/>
  <c r="E25" i="104"/>
  <c r="F25" i="104" s="1"/>
  <c r="L25" i="104" s="1"/>
  <c r="M25" i="104" s="1"/>
  <c r="AS24" i="104"/>
  <c r="E24" i="104"/>
  <c r="F24" i="104" s="1"/>
  <c r="L24" i="104" s="1"/>
  <c r="M24" i="104" s="1"/>
  <c r="O24" i="104" s="1"/>
  <c r="P24" i="104" s="1"/>
  <c r="Q24" i="104" s="1"/>
  <c r="AS23" i="104"/>
  <c r="AF23" i="104"/>
  <c r="AC23" i="104"/>
  <c r="Z23" i="104"/>
  <c r="K23" i="104"/>
  <c r="H23" i="104"/>
  <c r="G23" i="104"/>
  <c r="E23" i="104"/>
  <c r="F23" i="104" s="1"/>
  <c r="L23" i="104" s="1"/>
  <c r="AS22" i="104"/>
  <c r="AF22" i="104"/>
  <c r="AC22" i="104"/>
  <c r="Z22" i="104"/>
  <c r="E22" i="104"/>
  <c r="F22" i="104" s="1"/>
  <c r="K22" i="104" s="1"/>
  <c r="AS21" i="104"/>
  <c r="AF21" i="104"/>
  <c r="AC21" i="104"/>
  <c r="Z21" i="104"/>
  <c r="H21" i="104"/>
  <c r="E21" i="104"/>
  <c r="F21" i="104" s="1"/>
  <c r="L21" i="104" s="1"/>
  <c r="AS20" i="104"/>
  <c r="AF20" i="104"/>
  <c r="AC20" i="104"/>
  <c r="Z20" i="104"/>
  <c r="E20" i="104"/>
  <c r="F20" i="104" s="1"/>
  <c r="K20" i="104" s="1"/>
  <c r="AS19" i="104"/>
  <c r="AF19" i="104"/>
  <c r="AC19" i="104"/>
  <c r="Z19" i="104"/>
  <c r="H19" i="104"/>
  <c r="E19" i="104"/>
  <c r="F19" i="104" s="1"/>
  <c r="AS18" i="104"/>
  <c r="AF18" i="104"/>
  <c r="AC18" i="104"/>
  <c r="Z18" i="104"/>
  <c r="K18" i="104"/>
  <c r="H18" i="104"/>
  <c r="E18" i="104"/>
  <c r="F18" i="104" s="1"/>
  <c r="AS17" i="104"/>
  <c r="AF17" i="104"/>
  <c r="AC17" i="104"/>
  <c r="Z17" i="104"/>
  <c r="H17" i="104"/>
  <c r="E17" i="104"/>
  <c r="F17" i="104" s="1"/>
  <c r="AS16" i="104"/>
  <c r="AF16" i="104"/>
  <c r="AC16" i="104"/>
  <c r="Z16" i="104"/>
  <c r="E16" i="104"/>
  <c r="F16" i="104" s="1"/>
  <c r="L16" i="104" s="1"/>
  <c r="AS15" i="104"/>
  <c r="AF15" i="104"/>
  <c r="AC15" i="104"/>
  <c r="Z15" i="104"/>
  <c r="E15" i="104"/>
  <c r="F15" i="104" s="1"/>
  <c r="AS14" i="104"/>
  <c r="AO14" i="104"/>
  <c r="AF14" i="104"/>
  <c r="AC14" i="104"/>
  <c r="Z14" i="104"/>
  <c r="E14" i="104"/>
  <c r="F14" i="104" s="1"/>
  <c r="L14" i="104" s="1"/>
  <c r="AS13" i="104"/>
  <c r="AF13" i="104"/>
  <c r="AC13" i="104"/>
  <c r="Z13" i="104"/>
  <c r="K13" i="104"/>
  <c r="E13" i="104"/>
  <c r="F13" i="104" s="1"/>
  <c r="AS12" i="104"/>
  <c r="AF12" i="104"/>
  <c r="AC12" i="104"/>
  <c r="Z12" i="104"/>
  <c r="H12" i="104"/>
  <c r="E12" i="104"/>
  <c r="F12" i="104" s="1"/>
  <c r="L12" i="104" s="1"/>
  <c r="AS11" i="104"/>
  <c r="AF11" i="104"/>
  <c r="AC11" i="104"/>
  <c r="Z11" i="104"/>
  <c r="K11" i="104"/>
  <c r="H11" i="104"/>
  <c r="M11" i="104" s="1"/>
  <c r="O11" i="104" s="1"/>
  <c r="P11" i="104" s="1"/>
  <c r="E11" i="104"/>
  <c r="F11" i="104" s="1"/>
  <c r="L11" i="104" s="1"/>
  <c r="AS10" i="104"/>
  <c r="AO10" i="104"/>
  <c r="AF10" i="104"/>
  <c r="AC10" i="104"/>
  <c r="Z10" i="104"/>
  <c r="K10" i="104"/>
  <c r="H10" i="104"/>
  <c r="E10" i="104"/>
  <c r="F10" i="104" s="1"/>
  <c r="AS9" i="104"/>
  <c r="AO9" i="104"/>
  <c r="AF9" i="104"/>
  <c r="AC9" i="104"/>
  <c r="Z9" i="104"/>
  <c r="E9" i="104"/>
  <c r="AE25" i="103"/>
  <c r="AD25" i="103"/>
  <c r="AB25" i="103"/>
  <c r="AA25" i="103"/>
  <c r="Y25" i="103"/>
  <c r="X25" i="103"/>
  <c r="U25" i="103"/>
  <c r="I25" i="103"/>
  <c r="D25" i="103"/>
  <c r="C25" i="103"/>
  <c r="AS24" i="103"/>
  <c r="AF24" i="103"/>
  <c r="AC24" i="103"/>
  <c r="Z24" i="103"/>
  <c r="E24" i="103"/>
  <c r="F24" i="103" s="1"/>
  <c r="M24" i="103" s="1"/>
  <c r="O24" i="103" s="1"/>
  <c r="AF23" i="103"/>
  <c r="AC23" i="103"/>
  <c r="Z23" i="103"/>
  <c r="E23" i="103"/>
  <c r="F23" i="103" s="1"/>
  <c r="L23" i="103" s="1"/>
  <c r="AS22" i="103"/>
  <c r="AF22" i="103"/>
  <c r="AC22" i="103"/>
  <c r="Z22" i="103"/>
  <c r="H22" i="103"/>
  <c r="G22" i="103"/>
  <c r="G25" i="103" s="1"/>
  <c r="E22" i="103"/>
  <c r="F22" i="103" s="1"/>
  <c r="AS21" i="103"/>
  <c r="AF21" i="103"/>
  <c r="AC21" i="103"/>
  <c r="Z21" i="103"/>
  <c r="H21" i="103"/>
  <c r="E21" i="103"/>
  <c r="F21" i="103" s="1"/>
  <c r="L21" i="103" s="1"/>
  <c r="AF20" i="103"/>
  <c r="AC20" i="103"/>
  <c r="Z20" i="103"/>
  <c r="E20" i="103"/>
  <c r="F20" i="103" s="1"/>
  <c r="L20" i="103" s="1"/>
  <c r="AF19" i="103"/>
  <c r="AC19" i="103"/>
  <c r="Z19" i="103"/>
  <c r="E19" i="103"/>
  <c r="F19" i="103" s="1"/>
  <c r="AF18" i="103"/>
  <c r="AC18" i="103"/>
  <c r="Z18" i="103"/>
  <c r="E18" i="103"/>
  <c r="F18" i="103" s="1"/>
  <c r="AS17" i="103"/>
  <c r="AF17" i="103"/>
  <c r="AC17" i="103"/>
  <c r="Z17" i="103"/>
  <c r="K17" i="103"/>
  <c r="J17" i="103"/>
  <c r="J25" i="103" s="1"/>
  <c r="H17" i="103"/>
  <c r="E17" i="103"/>
  <c r="F17" i="103" s="1"/>
  <c r="L17" i="103" s="1"/>
  <c r="AS16" i="103"/>
  <c r="AF16" i="103"/>
  <c r="AC16" i="103"/>
  <c r="Z16" i="103"/>
  <c r="H16" i="103"/>
  <c r="E16" i="103"/>
  <c r="F16" i="103" s="1"/>
  <c r="K16" i="103" s="1"/>
  <c r="AS15" i="103"/>
  <c r="AF15" i="103"/>
  <c r="AG15" i="103" s="1"/>
  <c r="AC15" i="103"/>
  <c r="Z15" i="103"/>
  <c r="H15" i="103"/>
  <c r="E15" i="103"/>
  <c r="F15" i="103" s="1"/>
  <c r="K15" i="103" s="1"/>
  <c r="AS14" i="103"/>
  <c r="AF14" i="103"/>
  <c r="AC14" i="103"/>
  <c r="Z14" i="103"/>
  <c r="H14" i="103"/>
  <c r="E14" i="103"/>
  <c r="F14" i="103" s="1"/>
  <c r="AS13" i="103"/>
  <c r="AF13" i="103"/>
  <c r="AC13" i="103"/>
  <c r="Z13" i="103"/>
  <c r="H13" i="103"/>
  <c r="E13" i="103"/>
  <c r="F13" i="103" s="1"/>
  <c r="L13" i="103" s="1"/>
  <c r="AS12" i="103"/>
  <c r="AF12" i="103"/>
  <c r="AC12" i="103"/>
  <c r="Z12" i="103"/>
  <c r="E12" i="103"/>
  <c r="F12" i="103" s="1"/>
  <c r="L12" i="103" s="1"/>
  <c r="AS11" i="103"/>
  <c r="AO11" i="103"/>
  <c r="AF11" i="103"/>
  <c r="AC11" i="103"/>
  <c r="Z11" i="103"/>
  <c r="H11" i="103"/>
  <c r="E11" i="103"/>
  <c r="F11" i="103" s="1"/>
  <c r="K11" i="103" s="1"/>
  <c r="AS10" i="103"/>
  <c r="AO10" i="103"/>
  <c r="AF10" i="103"/>
  <c r="AC10" i="103"/>
  <c r="Z10" i="103"/>
  <c r="E10" i="103"/>
  <c r="F10" i="103" s="1"/>
  <c r="K10" i="103" s="1"/>
  <c r="AS9" i="103"/>
  <c r="AO9" i="103"/>
  <c r="AF9" i="103"/>
  <c r="AC9" i="103"/>
  <c r="Z9" i="103"/>
  <c r="E9" i="103"/>
  <c r="U66" i="102"/>
  <c r="N66" i="102"/>
  <c r="J66" i="102"/>
  <c r="I66" i="102"/>
  <c r="H66" i="102"/>
  <c r="G66" i="102"/>
  <c r="D66" i="102"/>
  <c r="C66" i="102"/>
  <c r="U65" i="102"/>
  <c r="N65" i="102"/>
  <c r="I65" i="102"/>
  <c r="G65" i="102"/>
  <c r="D65" i="102"/>
  <c r="U64" i="102"/>
  <c r="N64" i="102"/>
  <c r="J64" i="102"/>
  <c r="I64" i="102"/>
  <c r="H64" i="102"/>
  <c r="G64" i="102"/>
  <c r="D64" i="102"/>
  <c r="C64" i="102"/>
  <c r="J57" i="102"/>
  <c r="I57" i="102"/>
  <c r="AQ52" i="102"/>
  <c r="AE52" i="102"/>
  <c r="AD52" i="102"/>
  <c r="AB52" i="102"/>
  <c r="AA52" i="102"/>
  <c r="Y52" i="102"/>
  <c r="X52" i="102"/>
  <c r="U52" i="102"/>
  <c r="N52" i="102"/>
  <c r="I52" i="102"/>
  <c r="D52" i="102"/>
  <c r="AQ51" i="102"/>
  <c r="AF51" i="102"/>
  <c r="AC51" i="102"/>
  <c r="Z51" i="102"/>
  <c r="C51" i="102"/>
  <c r="E51" i="102" s="1"/>
  <c r="F51" i="102" s="1"/>
  <c r="AQ50" i="102"/>
  <c r="AF50" i="102"/>
  <c r="AC50" i="102"/>
  <c r="Z50" i="102"/>
  <c r="E50" i="102"/>
  <c r="F50" i="102" s="1"/>
  <c r="L50" i="102" s="1"/>
  <c r="M50" i="102" s="1"/>
  <c r="AQ49" i="102"/>
  <c r="AF49" i="102"/>
  <c r="AC49" i="102"/>
  <c r="Z49" i="102"/>
  <c r="G49" i="102"/>
  <c r="E49" i="102"/>
  <c r="F49" i="102" s="1"/>
  <c r="L49" i="102" s="1"/>
  <c r="AQ48" i="102"/>
  <c r="AF48" i="102"/>
  <c r="AC48" i="102"/>
  <c r="Z48" i="102"/>
  <c r="K48" i="102"/>
  <c r="G48" i="102"/>
  <c r="E48" i="102"/>
  <c r="F48" i="102" s="1"/>
  <c r="L48" i="102" s="1"/>
  <c r="AQ47" i="102"/>
  <c r="AF47" i="102"/>
  <c r="AC47" i="102"/>
  <c r="Z47" i="102"/>
  <c r="K47" i="102"/>
  <c r="G47" i="102"/>
  <c r="E47" i="102"/>
  <c r="F47" i="102" s="1"/>
  <c r="L47" i="102" s="1"/>
  <c r="AQ46" i="102"/>
  <c r="AF46" i="102"/>
  <c r="AC46" i="102"/>
  <c r="Z46" i="102"/>
  <c r="H46" i="102"/>
  <c r="E46" i="102"/>
  <c r="F46" i="102" s="1"/>
  <c r="L46" i="102" s="1"/>
  <c r="AQ45" i="102"/>
  <c r="AF45" i="102"/>
  <c r="AC45" i="102"/>
  <c r="Z45" i="102"/>
  <c r="E45" i="102"/>
  <c r="F45" i="102" s="1"/>
  <c r="L45" i="102" s="1"/>
  <c r="AQ44" i="102"/>
  <c r="AF44" i="102"/>
  <c r="AC44" i="102"/>
  <c r="Z44" i="102"/>
  <c r="G44" i="102"/>
  <c r="C44" i="102"/>
  <c r="E44" i="102" s="1"/>
  <c r="AO43" i="102"/>
  <c r="AF43" i="102"/>
  <c r="AC43" i="102"/>
  <c r="Z43" i="102"/>
  <c r="E43" i="102"/>
  <c r="F43" i="102" s="1"/>
  <c r="K43" i="102" s="1"/>
  <c r="AQ42" i="102"/>
  <c r="AG42" i="102"/>
  <c r="W42" i="102"/>
  <c r="AQ41" i="102"/>
  <c r="AF41" i="102"/>
  <c r="AC41" i="102"/>
  <c r="Z41" i="102"/>
  <c r="F41" i="102"/>
  <c r="M41" i="102" s="1"/>
  <c r="O41" i="102" s="1"/>
  <c r="P41" i="102" s="1"/>
  <c r="E41" i="102"/>
  <c r="AQ40" i="102"/>
  <c r="AF40" i="102"/>
  <c r="AC40" i="102"/>
  <c r="Z40" i="102"/>
  <c r="H40" i="102"/>
  <c r="E40" i="102"/>
  <c r="F40" i="102" s="1"/>
  <c r="AQ39" i="102"/>
  <c r="AF39" i="102"/>
  <c r="AC39" i="102"/>
  <c r="Z39" i="102"/>
  <c r="C39" i="102"/>
  <c r="E39" i="102" s="1"/>
  <c r="F39" i="102" s="1"/>
  <c r="M39" i="102" s="1"/>
  <c r="AQ38" i="102"/>
  <c r="AF38" i="102"/>
  <c r="AC38" i="102"/>
  <c r="Z38" i="102"/>
  <c r="E38" i="102"/>
  <c r="F38" i="102" s="1"/>
  <c r="M38" i="102" s="1"/>
  <c r="AQ37" i="102"/>
  <c r="AF37" i="102"/>
  <c r="AC37" i="102"/>
  <c r="Z37" i="102"/>
  <c r="E37" i="102"/>
  <c r="F37" i="102" s="1"/>
  <c r="AQ36" i="102"/>
  <c r="AF36" i="102"/>
  <c r="AC36" i="102"/>
  <c r="Z36" i="102"/>
  <c r="E36" i="102"/>
  <c r="F36" i="102" s="1"/>
  <c r="AQ35" i="102"/>
  <c r="AF35" i="102"/>
  <c r="AC35" i="102"/>
  <c r="Z35" i="102"/>
  <c r="K35" i="102"/>
  <c r="E35" i="102"/>
  <c r="F35" i="102" s="1"/>
  <c r="AO34" i="102"/>
  <c r="AF34" i="102"/>
  <c r="AC34" i="102"/>
  <c r="Z34" i="102"/>
  <c r="K34" i="102"/>
  <c r="J34" i="102"/>
  <c r="E34" i="102"/>
  <c r="F34" i="102" s="1"/>
  <c r="L34" i="102" s="1"/>
  <c r="AQ33" i="102"/>
  <c r="AF33" i="102"/>
  <c r="AC33" i="102"/>
  <c r="Z33" i="102"/>
  <c r="K33" i="102"/>
  <c r="E33" i="102"/>
  <c r="F33" i="102" s="1"/>
  <c r="AO32" i="102"/>
  <c r="AF32" i="102"/>
  <c r="AC32" i="102"/>
  <c r="Z32" i="102"/>
  <c r="K32" i="102"/>
  <c r="E32" i="102"/>
  <c r="F32" i="102" s="1"/>
  <c r="AQ31" i="102"/>
  <c r="AF31" i="102"/>
  <c r="AC31" i="102"/>
  <c r="Z31" i="102"/>
  <c r="K31" i="102"/>
  <c r="E31" i="102"/>
  <c r="F31" i="102" s="1"/>
  <c r="AQ30" i="102"/>
  <c r="AF30" i="102"/>
  <c r="AC30" i="102"/>
  <c r="Z30" i="102"/>
  <c r="K30" i="102"/>
  <c r="E30" i="102"/>
  <c r="F30" i="102" s="1"/>
  <c r="AO29" i="102"/>
  <c r="AF29" i="102"/>
  <c r="AC29" i="102"/>
  <c r="Z29" i="102"/>
  <c r="K29" i="102"/>
  <c r="E29" i="102"/>
  <c r="F29" i="102" s="1"/>
  <c r="L29" i="102" s="1"/>
  <c r="AO28" i="102"/>
  <c r="AF28" i="102"/>
  <c r="AC28" i="102"/>
  <c r="Z28" i="102"/>
  <c r="E28" i="102"/>
  <c r="F28" i="102" s="1"/>
  <c r="K28" i="102" s="1"/>
  <c r="AQ27" i="102"/>
  <c r="AF27" i="102"/>
  <c r="AC27" i="102"/>
  <c r="Z27" i="102"/>
  <c r="C27" i="102"/>
  <c r="E27" i="102" s="1"/>
  <c r="F27" i="102" s="1"/>
  <c r="L27" i="102" s="1"/>
  <c r="AQ26" i="102"/>
  <c r="AF26" i="102"/>
  <c r="AC26" i="102"/>
  <c r="Z26" i="102"/>
  <c r="K26" i="102"/>
  <c r="E26" i="102"/>
  <c r="F26" i="102" s="1"/>
  <c r="AQ25" i="102"/>
  <c r="AF25" i="102"/>
  <c r="AC25" i="102"/>
  <c r="Z25" i="102"/>
  <c r="E25" i="102"/>
  <c r="F25" i="102" s="1"/>
  <c r="AQ24" i="102"/>
  <c r="AF24" i="102"/>
  <c r="AC24" i="102"/>
  <c r="Z24" i="102"/>
  <c r="E24" i="102"/>
  <c r="F24" i="102" s="1"/>
  <c r="AQ23" i="102"/>
  <c r="AF23" i="102"/>
  <c r="AC23" i="102"/>
  <c r="Z23" i="102"/>
  <c r="E23" i="102"/>
  <c r="F23" i="102" s="1"/>
  <c r="L23" i="102" s="1"/>
  <c r="AQ22" i="102"/>
  <c r="AF22" i="102"/>
  <c r="AC22" i="102"/>
  <c r="Z22" i="102"/>
  <c r="E22" i="102"/>
  <c r="F22" i="102" s="1"/>
  <c r="AO21" i="102"/>
  <c r="AF21" i="102"/>
  <c r="AC21" i="102"/>
  <c r="Z21" i="102"/>
  <c r="K21" i="102"/>
  <c r="H21" i="102"/>
  <c r="E21" i="102"/>
  <c r="F21" i="102" s="1"/>
  <c r="L21" i="102" s="1"/>
  <c r="AO20" i="102"/>
  <c r="AF20" i="102"/>
  <c r="AC20" i="102"/>
  <c r="Z20" i="102"/>
  <c r="E20" i="102"/>
  <c r="F20" i="102" s="1"/>
  <c r="AQ19" i="102"/>
  <c r="AF19" i="102"/>
  <c r="AC19" i="102"/>
  <c r="Z19" i="102"/>
  <c r="E19" i="102"/>
  <c r="F19" i="102" s="1"/>
  <c r="K19" i="102" s="1"/>
  <c r="AQ18" i="102"/>
  <c r="AF18" i="102"/>
  <c r="AC18" i="102"/>
  <c r="Z18" i="102"/>
  <c r="K18" i="102"/>
  <c r="E18" i="102"/>
  <c r="F18" i="102" s="1"/>
  <c r="AQ17" i="102"/>
  <c r="AF17" i="102"/>
  <c r="AC17" i="102"/>
  <c r="Z17" i="102"/>
  <c r="E17" i="102"/>
  <c r="F17" i="102" s="1"/>
  <c r="L17" i="102" s="1"/>
  <c r="AO16" i="102"/>
  <c r="AF16" i="102"/>
  <c r="AC16" i="102"/>
  <c r="Z16" i="102"/>
  <c r="E16" i="102"/>
  <c r="F16" i="102" s="1"/>
  <c r="L16" i="102" s="1"/>
  <c r="AO15" i="102"/>
  <c r="AF15" i="102"/>
  <c r="AC15" i="102"/>
  <c r="Z15" i="102"/>
  <c r="E15" i="102"/>
  <c r="F15" i="102" s="1"/>
  <c r="K15" i="102" s="1"/>
  <c r="AO14" i="102"/>
  <c r="AF14" i="102"/>
  <c r="AC14" i="102"/>
  <c r="Z14" i="102"/>
  <c r="H14" i="102"/>
  <c r="E14" i="102"/>
  <c r="F14" i="102" s="1"/>
  <c r="K14" i="102" s="1"/>
  <c r="AQ13" i="102"/>
  <c r="AF13" i="102"/>
  <c r="AC13" i="102"/>
  <c r="Z13" i="102"/>
  <c r="K13" i="102"/>
  <c r="H13" i="102"/>
  <c r="E13" i="102"/>
  <c r="AO12" i="102"/>
  <c r="AF12" i="102"/>
  <c r="AC12" i="102"/>
  <c r="Z12" i="102"/>
  <c r="E12" i="102"/>
  <c r="F12" i="102" s="1"/>
  <c r="L12" i="102" s="1"/>
  <c r="M12" i="102" s="1"/>
  <c r="AO11" i="102"/>
  <c r="AF11" i="102"/>
  <c r="AC11" i="102"/>
  <c r="Z11" i="102"/>
  <c r="E11" i="102"/>
  <c r="AO10" i="102"/>
  <c r="AF10" i="102"/>
  <c r="AC10" i="102"/>
  <c r="Z10" i="102"/>
  <c r="E10" i="102"/>
  <c r="F10" i="102" s="1"/>
  <c r="K10" i="102" s="1"/>
  <c r="AO9" i="102"/>
  <c r="AF9" i="102"/>
  <c r="AC9" i="102"/>
  <c r="Z9" i="102"/>
  <c r="E9" i="102"/>
  <c r="F9" i="102" s="1"/>
  <c r="G28" i="101"/>
  <c r="AE23" i="101"/>
  <c r="AD23" i="101"/>
  <c r="AB23" i="101"/>
  <c r="AA23" i="101"/>
  <c r="Y23" i="101"/>
  <c r="X23" i="101"/>
  <c r="U23" i="101"/>
  <c r="H23" i="101"/>
  <c r="G23" i="101"/>
  <c r="D23" i="101"/>
  <c r="AS22" i="101"/>
  <c r="AF22" i="101"/>
  <c r="AC22" i="101"/>
  <c r="Z22" i="101"/>
  <c r="C22" i="101"/>
  <c r="E22" i="101" s="1"/>
  <c r="F22" i="101" s="1"/>
  <c r="M22" i="101" s="1"/>
  <c r="O22" i="101" s="1"/>
  <c r="AS21" i="101"/>
  <c r="AF21" i="101"/>
  <c r="AC21" i="101"/>
  <c r="Z21" i="101"/>
  <c r="K21" i="101"/>
  <c r="E21" i="101"/>
  <c r="F21" i="101" s="1"/>
  <c r="AS20" i="101"/>
  <c r="AF20" i="101"/>
  <c r="AC20" i="101"/>
  <c r="Z20" i="101"/>
  <c r="K20" i="101"/>
  <c r="J20" i="101"/>
  <c r="E20" i="101"/>
  <c r="F20" i="101" s="1"/>
  <c r="AS19" i="101"/>
  <c r="AF19" i="101"/>
  <c r="AC19" i="101"/>
  <c r="Z19" i="101"/>
  <c r="E19" i="101"/>
  <c r="F19" i="101" s="1"/>
  <c r="AS18" i="101"/>
  <c r="AF18" i="101"/>
  <c r="AC18" i="101"/>
  <c r="Z18" i="101"/>
  <c r="E18" i="101"/>
  <c r="F18" i="101" s="1"/>
  <c r="L18" i="101" s="1"/>
  <c r="AS17" i="101"/>
  <c r="AF17" i="101"/>
  <c r="AC17" i="101"/>
  <c r="Z17" i="101"/>
  <c r="K17" i="101"/>
  <c r="J17" i="101"/>
  <c r="E17" i="101"/>
  <c r="F17" i="101" s="1"/>
  <c r="L17" i="101" s="1"/>
  <c r="AS16" i="101"/>
  <c r="AF16" i="101"/>
  <c r="AC16" i="101"/>
  <c r="Z16" i="101"/>
  <c r="K16" i="101"/>
  <c r="J16" i="101"/>
  <c r="E16" i="101"/>
  <c r="F16" i="101" s="1"/>
  <c r="L16" i="101" s="1"/>
  <c r="AS15" i="101"/>
  <c r="AF15" i="101"/>
  <c r="AC15" i="101"/>
  <c r="Z15" i="101"/>
  <c r="K15" i="101"/>
  <c r="J15" i="101"/>
  <c r="C15" i="101"/>
  <c r="AS14" i="101"/>
  <c r="AF14" i="101"/>
  <c r="AC14" i="101"/>
  <c r="Z14" i="101"/>
  <c r="K14" i="101"/>
  <c r="E14" i="101"/>
  <c r="F14" i="101" s="1"/>
  <c r="L14" i="101" s="1"/>
  <c r="AS13" i="101"/>
  <c r="AF13" i="101"/>
  <c r="AC13" i="101"/>
  <c r="Z13" i="101"/>
  <c r="K13" i="101"/>
  <c r="E13" i="101"/>
  <c r="F13" i="101" s="1"/>
  <c r="L13" i="101" s="1"/>
  <c r="AS12" i="101"/>
  <c r="AF12" i="101"/>
  <c r="AC12" i="101"/>
  <c r="Z12" i="101"/>
  <c r="E12" i="101"/>
  <c r="F12" i="101" s="1"/>
  <c r="AS11" i="101"/>
  <c r="AF11" i="101"/>
  <c r="AC11" i="101"/>
  <c r="Z11" i="101"/>
  <c r="K11" i="101"/>
  <c r="E11" i="101"/>
  <c r="F11" i="101" s="1"/>
  <c r="L11" i="101" s="1"/>
  <c r="AS10" i="101"/>
  <c r="AO10" i="101"/>
  <c r="AF10" i="101"/>
  <c r="AC10" i="101"/>
  <c r="Z10" i="101"/>
  <c r="K10" i="101"/>
  <c r="I10" i="101"/>
  <c r="I23" i="101" s="1"/>
  <c r="E10" i="101"/>
  <c r="F10" i="101" s="1"/>
  <c r="L10" i="101" s="1"/>
  <c r="AS9" i="101"/>
  <c r="AO9" i="101"/>
  <c r="AF9" i="101"/>
  <c r="AC9" i="101"/>
  <c r="Z9" i="101"/>
  <c r="E9" i="101"/>
  <c r="F9" i="101" s="1"/>
  <c r="L9" i="101" s="1"/>
  <c r="AE21" i="100"/>
  <c r="AD21" i="100"/>
  <c r="AB21" i="100"/>
  <c r="AA21" i="100"/>
  <c r="Y21" i="100"/>
  <c r="X21" i="100"/>
  <c r="U21" i="100"/>
  <c r="J21" i="100"/>
  <c r="I21" i="100"/>
  <c r="D21" i="100"/>
  <c r="C21" i="100"/>
  <c r="AF20" i="100"/>
  <c r="AC20" i="100"/>
  <c r="Z20" i="100"/>
  <c r="H20" i="100"/>
  <c r="G20" i="100"/>
  <c r="E20" i="100"/>
  <c r="F20" i="100" s="1"/>
  <c r="L20" i="100" s="1"/>
  <c r="AF19" i="100"/>
  <c r="AC19" i="100"/>
  <c r="Z19" i="100"/>
  <c r="E19" i="100"/>
  <c r="F19" i="100" s="1"/>
  <c r="L19" i="100" s="1"/>
  <c r="M19" i="100" s="1"/>
  <c r="O19" i="100" s="1"/>
  <c r="P19" i="100" s="1"/>
  <c r="Q19" i="100" s="1"/>
  <c r="AF18" i="100"/>
  <c r="AC18" i="100"/>
  <c r="Z18" i="100"/>
  <c r="H18" i="100"/>
  <c r="G18" i="100"/>
  <c r="E18" i="100"/>
  <c r="F18" i="100" s="1"/>
  <c r="L18" i="100" s="1"/>
  <c r="AF17" i="100"/>
  <c r="AC17" i="100"/>
  <c r="Z17" i="100"/>
  <c r="E17" i="100"/>
  <c r="F17" i="100" s="1"/>
  <c r="AF16" i="100"/>
  <c r="AC16" i="100"/>
  <c r="Z16" i="100"/>
  <c r="H16" i="100"/>
  <c r="G16" i="100"/>
  <c r="E16" i="100"/>
  <c r="F16" i="100" s="1"/>
  <c r="AF15" i="100"/>
  <c r="AC15" i="100"/>
  <c r="Z15" i="100"/>
  <c r="K15" i="100"/>
  <c r="E15" i="100"/>
  <c r="F15" i="100" s="1"/>
  <c r="L15" i="100" s="1"/>
  <c r="AF14" i="100"/>
  <c r="AC14" i="100"/>
  <c r="Z14" i="100"/>
  <c r="E14" i="100"/>
  <c r="F14" i="100" s="1"/>
  <c r="L14" i="100" s="1"/>
  <c r="AF13" i="100"/>
  <c r="AC13" i="100"/>
  <c r="Z13" i="100"/>
  <c r="E13" i="100"/>
  <c r="F13" i="100" s="1"/>
  <c r="L13" i="100" s="1"/>
  <c r="AF12" i="100"/>
  <c r="AC12" i="100"/>
  <c r="Z12" i="100"/>
  <c r="AG12" i="100" s="1"/>
  <c r="E12" i="100"/>
  <c r="F12" i="100" s="1"/>
  <c r="AF11" i="100"/>
  <c r="AC11" i="100"/>
  <c r="Z11" i="100"/>
  <c r="E11" i="100"/>
  <c r="F11" i="100" s="1"/>
  <c r="L11" i="100" s="1"/>
  <c r="AO10" i="100"/>
  <c r="AF10" i="100"/>
  <c r="AC10" i="100"/>
  <c r="Z10" i="100"/>
  <c r="E10" i="100"/>
  <c r="AO9" i="100"/>
  <c r="AF9" i="100"/>
  <c r="AC9" i="100"/>
  <c r="Z9" i="100"/>
  <c r="K9" i="100"/>
  <c r="E9" i="100"/>
  <c r="F9" i="100" s="1"/>
  <c r="AE28" i="99"/>
  <c r="AD28" i="99"/>
  <c r="AB28" i="99"/>
  <c r="AA28" i="99"/>
  <c r="Y28" i="99"/>
  <c r="X28" i="99"/>
  <c r="U28" i="99"/>
  <c r="N28" i="99"/>
  <c r="J28" i="99"/>
  <c r="I28" i="99"/>
  <c r="G28" i="99"/>
  <c r="D28" i="99"/>
  <c r="C28" i="99"/>
  <c r="AL27" i="99"/>
  <c r="AF27" i="99"/>
  <c r="AC27" i="99"/>
  <c r="Z27" i="99"/>
  <c r="H27" i="99"/>
  <c r="E27" i="99"/>
  <c r="F27" i="99" s="1"/>
  <c r="AL26" i="99"/>
  <c r="AF26" i="99"/>
  <c r="AC26" i="99"/>
  <c r="Z26" i="99"/>
  <c r="H26" i="99"/>
  <c r="E26" i="99"/>
  <c r="F26" i="99" s="1"/>
  <c r="AL25" i="99"/>
  <c r="AF25" i="99"/>
  <c r="AC25" i="99"/>
  <c r="Z25" i="99"/>
  <c r="H25" i="99"/>
  <c r="E25" i="99"/>
  <c r="F25" i="99" s="1"/>
  <c r="AL24" i="99"/>
  <c r="AF24" i="99"/>
  <c r="AC24" i="99"/>
  <c r="Z24" i="99"/>
  <c r="K24" i="99"/>
  <c r="H24" i="99"/>
  <c r="E24" i="99"/>
  <c r="F24" i="99" s="1"/>
  <c r="AL23" i="99"/>
  <c r="AF23" i="99"/>
  <c r="AC23" i="99"/>
  <c r="Z23" i="99"/>
  <c r="E23" i="99"/>
  <c r="F23" i="99" s="1"/>
  <c r="L23" i="99" s="1"/>
  <c r="AL22" i="99"/>
  <c r="AF22" i="99"/>
  <c r="AC22" i="99"/>
  <c r="Z22" i="99"/>
  <c r="K22" i="99"/>
  <c r="H22" i="99"/>
  <c r="E22" i="99"/>
  <c r="F22" i="99" s="1"/>
  <c r="L22" i="99" s="1"/>
  <c r="AL21" i="99"/>
  <c r="AF21" i="99"/>
  <c r="AC21" i="99"/>
  <c r="Z21" i="99"/>
  <c r="H21" i="99"/>
  <c r="E21" i="99"/>
  <c r="F21" i="99" s="1"/>
  <c r="AL20" i="99"/>
  <c r="AF20" i="99"/>
  <c r="AC20" i="99"/>
  <c r="Z20" i="99"/>
  <c r="K20" i="99"/>
  <c r="H20" i="99"/>
  <c r="E20" i="99"/>
  <c r="F20" i="99" s="1"/>
  <c r="AL19" i="99"/>
  <c r="AF19" i="99"/>
  <c r="AC19" i="99"/>
  <c r="Z19" i="99"/>
  <c r="K19" i="99"/>
  <c r="H19" i="99"/>
  <c r="E19" i="99"/>
  <c r="F19" i="99" s="1"/>
  <c r="L19" i="99" s="1"/>
  <c r="AL18" i="99"/>
  <c r="AF18" i="99"/>
  <c r="AC18" i="99"/>
  <c r="Z18" i="99"/>
  <c r="H18" i="99"/>
  <c r="E18" i="99"/>
  <c r="F18" i="99" s="1"/>
  <c r="AL17" i="99"/>
  <c r="AF17" i="99"/>
  <c r="AC17" i="99"/>
  <c r="Z17" i="99"/>
  <c r="K17" i="99"/>
  <c r="H17" i="99"/>
  <c r="E17" i="99"/>
  <c r="F17" i="99" s="1"/>
  <c r="L17" i="99" s="1"/>
  <c r="AL16" i="99"/>
  <c r="AF16" i="99"/>
  <c r="AC16" i="99"/>
  <c r="Z16" i="99"/>
  <c r="K16" i="99"/>
  <c r="H16" i="99"/>
  <c r="E16" i="99"/>
  <c r="F16" i="99" s="1"/>
  <c r="AL15" i="99"/>
  <c r="AF15" i="99"/>
  <c r="AC15" i="99"/>
  <c r="Z15" i="99"/>
  <c r="H15" i="99"/>
  <c r="E15" i="99"/>
  <c r="F15" i="99" s="1"/>
  <c r="AL14" i="99"/>
  <c r="AF14" i="99"/>
  <c r="AC14" i="99"/>
  <c r="Z14" i="99"/>
  <c r="H14" i="99"/>
  <c r="E14" i="99"/>
  <c r="F14" i="99" s="1"/>
  <c r="L14" i="99" s="1"/>
  <c r="AL13" i="99"/>
  <c r="AF13" i="99"/>
  <c r="AC13" i="99"/>
  <c r="Z13" i="99"/>
  <c r="H13" i="99"/>
  <c r="E13" i="99"/>
  <c r="F13" i="99" s="1"/>
  <c r="L13" i="99" s="1"/>
  <c r="AL12" i="99"/>
  <c r="AF12" i="99"/>
  <c r="AC12" i="99"/>
  <c r="Z12" i="99"/>
  <c r="H12" i="99"/>
  <c r="E12" i="99"/>
  <c r="AL11" i="99"/>
  <c r="AF11" i="99"/>
  <c r="AC11" i="99"/>
  <c r="Z11" i="99"/>
  <c r="K11" i="99"/>
  <c r="H11" i="99"/>
  <c r="E11" i="99"/>
  <c r="F11" i="99" s="1"/>
  <c r="L11" i="99" s="1"/>
  <c r="AL10" i="99"/>
  <c r="AF10" i="99"/>
  <c r="AC10" i="99"/>
  <c r="Z10" i="99"/>
  <c r="K10" i="99"/>
  <c r="E10" i="99"/>
  <c r="F10" i="99" s="1"/>
  <c r="L10" i="99" s="1"/>
  <c r="AL9" i="99"/>
  <c r="AF9" i="99"/>
  <c r="AC9" i="99"/>
  <c r="Z9" i="99"/>
  <c r="K9" i="99"/>
  <c r="E9" i="99"/>
  <c r="F9" i="99" s="1"/>
  <c r="L9" i="99" s="1"/>
  <c r="K14" i="105"/>
  <c r="L9" i="107"/>
  <c r="K13" i="106"/>
  <c r="L51" i="108"/>
  <c r="M51" i="108" s="1"/>
  <c r="O51" i="108" s="1"/>
  <c r="L15" i="108"/>
  <c r="L36" i="108"/>
  <c r="M36" i="108" s="1"/>
  <c r="O36" i="108" s="1"/>
  <c r="P36" i="108" s="1"/>
  <c r="K14" i="108"/>
  <c r="L16" i="108"/>
  <c r="K16" i="108"/>
  <c r="AG19" i="110"/>
  <c r="F13" i="108"/>
  <c r="L13" i="108" s="1"/>
  <c r="L18" i="110"/>
  <c r="K16" i="110"/>
  <c r="L24" i="110"/>
  <c r="M24" i="110" s="1"/>
  <c r="O24" i="110" s="1"/>
  <c r="P24" i="110" s="1"/>
  <c r="L23" i="109"/>
  <c r="M23" i="109" s="1"/>
  <c r="K12" i="110"/>
  <c r="L24" i="99"/>
  <c r="L21" i="99"/>
  <c r="K14" i="99"/>
  <c r="M17" i="102"/>
  <c r="L20" i="102"/>
  <c r="K20" i="102"/>
  <c r="M17" i="101"/>
  <c r="O17" i="101" s="1"/>
  <c r="P17" i="101" s="1"/>
  <c r="F11" i="102"/>
  <c r="K11" i="102" s="1"/>
  <c r="K23" i="102"/>
  <c r="L15" i="103"/>
  <c r="F9" i="104"/>
  <c r="L9" i="104" s="1"/>
  <c r="M9" i="104" s="1"/>
  <c r="O9" i="104" s="1"/>
  <c r="P9" i="104" s="1"/>
  <c r="K14" i="104"/>
  <c r="K21" i="103"/>
  <c r="L9" i="105"/>
  <c r="O17" i="102"/>
  <c r="P17" i="102" s="1"/>
  <c r="Q17" i="102" s="1"/>
  <c r="AL13" i="80"/>
  <c r="AL15" i="80"/>
  <c r="AL11" i="80"/>
  <c r="AL10" i="80"/>
  <c r="AL9" i="80"/>
  <c r="K10" i="80"/>
  <c r="AO10" i="81"/>
  <c r="AO9" i="81"/>
  <c r="AO43" i="84"/>
  <c r="AO34" i="84"/>
  <c r="AO32" i="84"/>
  <c r="AO29" i="84"/>
  <c r="AO28" i="84"/>
  <c r="AO21" i="84"/>
  <c r="AO20" i="84"/>
  <c r="AO16" i="84"/>
  <c r="AO15" i="84"/>
  <c r="AO14" i="84"/>
  <c r="AO12" i="84"/>
  <c r="AO10" i="84"/>
  <c r="AO11" i="84"/>
  <c r="AO9" i="84"/>
  <c r="AO14" i="86"/>
  <c r="AO10" i="86"/>
  <c r="AO9" i="86"/>
  <c r="AO11" i="85"/>
  <c r="AO10" i="85"/>
  <c r="AO9" i="85"/>
  <c r="AG42" i="84"/>
  <c r="K34" i="84"/>
  <c r="K31" i="84"/>
  <c r="K21" i="84"/>
  <c r="K18" i="84"/>
  <c r="H16" i="42"/>
  <c r="E16" i="42"/>
  <c r="D15" i="42"/>
  <c r="C15" i="42"/>
  <c r="D14" i="42"/>
  <c r="C14" i="42"/>
  <c r="D13" i="42"/>
  <c r="C13" i="42"/>
  <c r="G12" i="42"/>
  <c r="F12" i="42"/>
  <c r="F16" i="42" s="1"/>
  <c r="D12" i="42"/>
  <c r="D11" i="42"/>
  <c r="C11" i="42"/>
  <c r="D10" i="42"/>
  <c r="C10" i="42"/>
  <c r="H17" i="80"/>
  <c r="H16" i="80"/>
  <c r="H27" i="86"/>
  <c r="H10" i="86"/>
  <c r="H11" i="86"/>
  <c r="X25" i="85"/>
  <c r="AF23" i="85"/>
  <c r="AC23" i="85"/>
  <c r="Z23" i="85"/>
  <c r="AF20" i="85"/>
  <c r="AC20" i="85"/>
  <c r="Z20" i="85"/>
  <c r="AF19" i="85"/>
  <c r="AC19" i="85"/>
  <c r="Z19" i="85"/>
  <c r="AF18" i="85"/>
  <c r="AC18" i="85"/>
  <c r="Z18" i="85"/>
  <c r="AS9" i="85"/>
  <c r="J17" i="85"/>
  <c r="H11" i="85"/>
  <c r="E18" i="85"/>
  <c r="F18" i="85" s="1"/>
  <c r="L18" i="85" s="1"/>
  <c r="E19" i="85"/>
  <c r="F19" i="85" s="1"/>
  <c r="E20" i="85"/>
  <c r="F20" i="85" s="1"/>
  <c r="L20" i="85" s="1"/>
  <c r="M20" i="85" s="1"/>
  <c r="E21" i="85"/>
  <c r="F21" i="85" s="1"/>
  <c r="K21" i="85" s="1"/>
  <c r="E22" i="85"/>
  <c r="F22" i="85" s="1"/>
  <c r="L22" i="85" s="1"/>
  <c r="E23" i="85"/>
  <c r="F23" i="85" s="1"/>
  <c r="AL12" i="80"/>
  <c r="AL14" i="80"/>
  <c r="AL16" i="80"/>
  <c r="AL17" i="80"/>
  <c r="AL18" i="80"/>
  <c r="AL19" i="80"/>
  <c r="AL20" i="80"/>
  <c r="AL21" i="80"/>
  <c r="AL22" i="80"/>
  <c r="AL23" i="80"/>
  <c r="AL24" i="80"/>
  <c r="AL25" i="80"/>
  <c r="AL26" i="80"/>
  <c r="W42" i="84"/>
  <c r="K30" i="84"/>
  <c r="K35" i="84"/>
  <c r="K48" i="84"/>
  <c r="K33" i="84"/>
  <c r="K32" i="84"/>
  <c r="K13" i="84"/>
  <c r="K47" i="84"/>
  <c r="K29" i="84"/>
  <c r="H21" i="84"/>
  <c r="H14" i="84"/>
  <c r="H13" i="84"/>
  <c r="G49" i="84"/>
  <c r="G48" i="84"/>
  <c r="G47" i="84"/>
  <c r="G44" i="84"/>
  <c r="C51" i="84"/>
  <c r="C44" i="84"/>
  <c r="E44" i="84" s="1"/>
  <c r="F44" i="84" s="1"/>
  <c r="L44" i="84" s="1"/>
  <c r="C39" i="84"/>
  <c r="E39" i="84" s="1"/>
  <c r="F39" i="84" s="1"/>
  <c r="M39" i="84" s="1"/>
  <c r="C27" i="84"/>
  <c r="E27" i="84" s="1"/>
  <c r="F27" i="84" s="1"/>
  <c r="L27" i="84" s="1"/>
  <c r="J57" i="84"/>
  <c r="G13" i="111" s="1"/>
  <c r="G16" i="42"/>
  <c r="I57" i="84"/>
  <c r="F13" i="111" s="1"/>
  <c r="K19" i="80"/>
  <c r="K24" i="80"/>
  <c r="K16" i="80"/>
  <c r="K17" i="80"/>
  <c r="K22" i="80"/>
  <c r="K11" i="80"/>
  <c r="K9" i="80"/>
  <c r="K20" i="80"/>
  <c r="K9" i="81"/>
  <c r="K15" i="81"/>
  <c r="AL27" i="80"/>
  <c r="H19" i="80"/>
  <c r="H24" i="80"/>
  <c r="H27" i="80"/>
  <c r="H14" i="80"/>
  <c r="H21" i="80"/>
  <c r="H18" i="80"/>
  <c r="H22" i="80"/>
  <c r="H26" i="80"/>
  <c r="H11" i="80"/>
  <c r="H12" i="80"/>
  <c r="H13" i="80"/>
  <c r="H15" i="80"/>
  <c r="H20" i="80"/>
  <c r="H25" i="80"/>
  <c r="AQ13" i="84"/>
  <c r="AQ17" i="84"/>
  <c r="AQ18" i="84"/>
  <c r="AQ19" i="84"/>
  <c r="AQ22" i="84"/>
  <c r="AQ23" i="84"/>
  <c r="AQ24" i="84"/>
  <c r="AQ25" i="84"/>
  <c r="AQ26" i="84"/>
  <c r="AQ27" i="84"/>
  <c r="AQ30" i="84"/>
  <c r="AQ31" i="84"/>
  <c r="AQ33" i="84"/>
  <c r="AQ35" i="84"/>
  <c r="AQ36" i="84"/>
  <c r="AQ37" i="84"/>
  <c r="AQ38" i="84"/>
  <c r="AQ39" i="84"/>
  <c r="AQ40" i="84"/>
  <c r="AQ41" i="84"/>
  <c r="AQ42" i="84"/>
  <c r="AQ44" i="84"/>
  <c r="AQ45" i="84"/>
  <c r="AQ46" i="84"/>
  <c r="AQ47" i="84"/>
  <c r="AQ48" i="84"/>
  <c r="AQ49" i="84"/>
  <c r="AQ50" i="84"/>
  <c r="AQ51" i="84"/>
  <c r="AQ52" i="84"/>
  <c r="E25" i="86"/>
  <c r="F25" i="86" s="1"/>
  <c r="L25" i="86" s="1"/>
  <c r="M25" i="86" s="1"/>
  <c r="AS25" i="86"/>
  <c r="E24" i="86"/>
  <c r="F24" i="86" s="1"/>
  <c r="AS24" i="86"/>
  <c r="C28" i="86"/>
  <c r="B15" i="111" s="1"/>
  <c r="J34" i="84"/>
  <c r="H46" i="84"/>
  <c r="H40" i="84"/>
  <c r="K26" i="84"/>
  <c r="G22" i="85"/>
  <c r="G25" i="85" s="1"/>
  <c r="H21" i="85"/>
  <c r="H15" i="85"/>
  <c r="H17" i="85"/>
  <c r="H14" i="85"/>
  <c r="H16" i="85"/>
  <c r="H13" i="85"/>
  <c r="H22" i="85"/>
  <c r="K17" i="85"/>
  <c r="G18" i="81"/>
  <c r="G20" i="81"/>
  <c r="G16" i="81"/>
  <c r="H18" i="81"/>
  <c r="H20" i="81"/>
  <c r="H16" i="81"/>
  <c r="G26" i="86"/>
  <c r="G27" i="86"/>
  <c r="G23" i="86"/>
  <c r="H26" i="86"/>
  <c r="H23" i="86"/>
  <c r="H17" i="86"/>
  <c r="H19" i="86"/>
  <c r="H21" i="86"/>
  <c r="H18" i="86"/>
  <c r="H12" i="86"/>
  <c r="K10" i="86"/>
  <c r="K13" i="86"/>
  <c r="K11" i="86"/>
  <c r="K18" i="86"/>
  <c r="K23" i="86"/>
  <c r="E13" i="84"/>
  <c r="F13" i="84" s="1"/>
  <c r="L13" i="84" s="1"/>
  <c r="E12" i="84"/>
  <c r="F12" i="84" s="1"/>
  <c r="L12" i="84" s="1"/>
  <c r="E10" i="84"/>
  <c r="E11" i="84"/>
  <c r="F11" i="84" s="1"/>
  <c r="K11" i="84" s="1"/>
  <c r="E9" i="84"/>
  <c r="F9" i="84" s="1"/>
  <c r="L9" i="84" s="1"/>
  <c r="AC22" i="86"/>
  <c r="AF19" i="86"/>
  <c r="AC11" i="86"/>
  <c r="AF10" i="86"/>
  <c r="AC22" i="85"/>
  <c r="AF22" i="85"/>
  <c r="AC11" i="85"/>
  <c r="E14" i="84"/>
  <c r="F14" i="84" s="1"/>
  <c r="E15" i="84"/>
  <c r="F15" i="84" s="1"/>
  <c r="E16" i="84"/>
  <c r="F16" i="84" s="1"/>
  <c r="E17" i="84"/>
  <c r="E18" i="84"/>
  <c r="F18" i="84" s="1"/>
  <c r="L18" i="84" s="1"/>
  <c r="E19" i="84"/>
  <c r="F19" i="84" s="1"/>
  <c r="K19" i="84" s="1"/>
  <c r="E20" i="84"/>
  <c r="F20" i="84" s="1"/>
  <c r="K20" i="84" s="1"/>
  <c r="E21" i="84"/>
  <c r="F21" i="84" s="1"/>
  <c r="L21" i="84" s="1"/>
  <c r="E22" i="84"/>
  <c r="F22" i="84" s="1"/>
  <c r="E23" i="84"/>
  <c r="F23" i="84" s="1"/>
  <c r="K23" i="84" s="1"/>
  <c r="E24" i="84"/>
  <c r="F24" i="84" s="1"/>
  <c r="L24" i="84" s="1"/>
  <c r="E25" i="84"/>
  <c r="F25" i="84" s="1"/>
  <c r="E26" i="84"/>
  <c r="F26" i="84" s="1"/>
  <c r="L26" i="84" s="1"/>
  <c r="E28" i="84"/>
  <c r="F28" i="84" s="1"/>
  <c r="E29" i="84"/>
  <c r="F29" i="84" s="1"/>
  <c r="E30" i="84"/>
  <c r="F30" i="84" s="1"/>
  <c r="L30" i="84" s="1"/>
  <c r="E31" i="84"/>
  <c r="F31" i="84" s="1"/>
  <c r="L31" i="84" s="1"/>
  <c r="E32" i="84"/>
  <c r="F32" i="84" s="1"/>
  <c r="E33" i="84"/>
  <c r="F33" i="84" s="1"/>
  <c r="L33" i="84" s="1"/>
  <c r="E34" i="84"/>
  <c r="F34" i="84" s="1"/>
  <c r="E35" i="84"/>
  <c r="F35" i="84" s="1"/>
  <c r="E36" i="84"/>
  <c r="F36" i="84" s="1"/>
  <c r="E37" i="84"/>
  <c r="F37" i="84" s="1"/>
  <c r="E38" i="84"/>
  <c r="F38" i="84" s="1"/>
  <c r="M38" i="84" s="1"/>
  <c r="O38" i="84" s="1"/>
  <c r="E40" i="84"/>
  <c r="F40" i="84" s="1"/>
  <c r="E41" i="84"/>
  <c r="F41" i="84" s="1"/>
  <c r="M41" i="84" s="1"/>
  <c r="E43" i="84"/>
  <c r="F43" i="84" s="1"/>
  <c r="L43" i="84" s="1"/>
  <c r="E45" i="84"/>
  <c r="F45" i="84" s="1"/>
  <c r="L45" i="84" s="1"/>
  <c r="E46" i="84"/>
  <c r="F46" i="84" s="1"/>
  <c r="L46" i="84" s="1"/>
  <c r="E47" i="84"/>
  <c r="F47" i="84" s="1"/>
  <c r="E48" i="84"/>
  <c r="F48" i="84" s="1"/>
  <c r="L48" i="84" s="1"/>
  <c r="E49" i="84"/>
  <c r="F49" i="84" s="1"/>
  <c r="E50" i="84"/>
  <c r="F50" i="84" s="1"/>
  <c r="AC9" i="84"/>
  <c r="AF9" i="84"/>
  <c r="AC10" i="84"/>
  <c r="AF10" i="84"/>
  <c r="AC11" i="84"/>
  <c r="AF11" i="84"/>
  <c r="AC12" i="84"/>
  <c r="AF12" i="84"/>
  <c r="AC13" i="84"/>
  <c r="AF13" i="84"/>
  <c r="AC14" i="84"/>
  <c r="AF14" i="84"/>
  <c r="AC15" i="84"/>
  <c r="AF15" i="84"/>
  <c r="AC16" i="84"/>
  <c r="AF16" i="84"/>
  <c r="AC17" i="84"/>
  <c r="AF17" i="84"/>
  <c r="AC18" i="84"/>
  <c r="AF18" i="84"/>
  <c r="AC19" i="84"/>
  <c r="AF19" i="84"/>
  <c r="AC20" i="84"/>
  <c r="AF20" i="84"/>
  <c r="AC21" i="84"/>
  <c r="AF21" i="84"/>
  <c r="AC22" i="84"/>
  <c r="AF22" i="84"/>
  <c r="AC23" i="84"/>
  <c r="AF23" i="84"/>
  <c r="AC24" i="84"/>
  <c r="AF24" i="84"/>
  <c r="AC25" i="84"/>
  <c r="AF25" i="84"/>
  <c r="AC26" i="84"/>
  <c r="AF26" i="84"/>
  <c r="AG26" i="84" s="1"/>
  <c r="AC27" i="84"/>
  <c r="AF27" i="84"/>
  <c r="AC28" i="84"/>
  <c r="AF28" i="84"/>
  <c r="AC29" i="84"/>
  <c r="AF29" i="84"/>
  <c r="AC30" i="84"/>
  <c r="AF30" i="84"/>
  <c r="AC31" i="84"/>
  <c r="AF31" i="84"/>
  <c r="AC32" i="84"/>
  <c r="AF32" i="84"/>
  <c r="AC33" i="84"/>
  <c r="AF33" i="84"/>
  <c r="AC34" i="84"/>
  <c r="AF34" i="84"/>
  <c r="AC35" i="84"/>
  <c r="AF35" i="84"/>
  <c r="AC36" i="84"/>
  <c r="AF36" i="84"/>
  <c r="AC37" i="84"/>
  <c r="AF37" i="84"/>
  <c r="AC38" i="84"/>
  <c r="AF38" i="84"/>
  <c r="AC39" i="84"/>
  <c r="AF39" i="84"/>
  <c r="AC40" i="84"/>
  <c r="AF40" i="84"/>
  <c r="AC41" i="84"/>
  <c r="AF41" i="84"/>
  <c r="AC43" i="84"/>
  <c r="AF43" i="84"/>
  <c r="AC44" i="84"/>
  <c r="AF44" i="84"/>
  <c r="AC45" i="84"/>
  <c r="AF45" i="84"/>
  <c r="AC46" i="84"/>
  <c r="AF46" i="84"/>
  <c r="AC47" i="84"/>
  <c r="AF47" i="84"/>
  <c r="AC48" i="84"/>
  <c r="AF48" i="84"/>
  <c r="AC49" i="84"/>
  <c r="AF49" i="84"/>
  <c r="AC50" i="84"/>
  <c r="AF50" i="84"/>
  <c r="AC51" i="84"/>
  <c r="AF51" i="84"/>
  <c r="Z21" i="80"/>
  <c r="AC21" i="80"/>
  <c r="AF21" i="80"/>
  <c r="E21" i="80"/>
  <c r="F21" i="80" s="1"/>
  <c r="L21" i="80" s="1"/>
  <c r="E23" i="80"/>
  <c r="F23" i="80" s="1"/>
  <c r="L23" i="80" s="1"/>
  <c r="Z23" i="80"/>
  <c r="AC23" i="80"/>
  <c r="AF23" i="80"/>
  <c r="E12" i="80"/>
  <c r="F12" i="80" s="1"/>
  <c r="L12" i="80" s="1"/>
  <c r="M12" i="80" s="1"/>
  <c r="Z12" i="80"/>
  <c r="AC12" i="80"/>
  <c r="AF12" i="80"/>
  <c r="C28" i="80"/>
  <c r="B10" i="111" s="1"/>
  <c r="AC9" i="86"/>
  <c r="AF9" i="86"/>
  <c r="AC10" i="86"/>
  <c r="AF11" i="86"/>
  <c r="AC12" i="86"/>
  <c r="AF12" i="86"/>
  <c r="AC13" i="86"/>
  <c r="AF13" i="86"/>
  <c r="AC14" i="86"/>
  <c r="AF14" i="86"/>
  <c r="AC15" i="86"/>
  <c r="AF15" i="86"/>
  <c r="AC16" i="86"/>
  <c r="AF16" i="86"/>
  <c r="AC17" i="86"/>
  <c r="AF17" i="86"/>
  <c r="AC18" i="86"/>
  <c r="AF18" i="86"/>
  <c r="AC19" i="86"/>
  <c r="AC20" i="86"/>
  <c r="AF20" i="86"/>
  <c r="AC21" i="86"/>
  <c r="AF21" i="86"/>
  <c r="AF22" i="86"/>
  <c r="AC23" i="86"/>
  <c r="AF23" i="86"/>
  <c r="AC26" i="86"/>
  <c r="AG26" i="86" s="1"/>
  <c r="AH26" i="86" s="1"/>
  <c r="AF26" i="86"/>
  <c r="AC27" i="86"/>
  <c r="AF27" i="86"/>
  <c r="AC13" i="81"/>
  <c r="AF10" i="81"/>
  <c r="AC11" i="81"/>
  <c r="AC9" i="80"/>
  <c r="AF9" i="80"/>
  <c r="AC10" i="80"/>
  <c r="AF10" i="80"/>
  <c r="AC11" i="80"/>
  <c r="AF11" i="80"/>
  <c r="AC13" i="80"/>
  <c r="AF13" i="80"/>
  <c r="AC14" i="80"/>
  <c r="AF14" i="80"/>
  <c r="AG14" i="80" s="1"/>
  <c r="AC15" i="80"/>
  <c r="AF15" i="80"/>
  <c r="AC16" i="80"/>
  <c r="AF16" i="80"/>
  <c r="AC17" i="80"/>
  <c r="AF17" i="80"/>
  <c r="AC18" i="80"/>
  <c r="AF18" i="80"/>
  <c r="AC19" i="80"/>
  <c r="AF19" i="80"/>
  <c r="AC20" i="80"/>
  <c r="AF20" i="80"/>
  <c r="AC22" i="80"/>
  <c r="AF22" i="80"/>
  <c r="AC24" i="80"/>
  <c r="AF24" i="80"/>
  <c r="AG24" i="80" s="1"/>
  <c r="AH24" i="80" s="1"/>
  <c r="AC25" i="80"/>
  <c r="AF25" i="80"/>
  <c r="AC26" i="80"/>
  <c r="AF26" i="80"/>
  <c r="AC27" i="80"/>
  <c r="AF27" i="80"/>
  <c r="Z18" i="86"/>
  <c r="Z17" i="86"/>
  <c r="Z21" i="86"/>
  <c r="Z11" i="86"/>
  <c r="AG11" i="86" s="1"/>
  <c r="Z14" i="86"/>
  <c r="Z26" i="86"/>
  <c r="Z15" i="86"/>
  <c r="Z9" i="86"/>
  <c r="AG9" i="86" s="1"/>
  <c r="Z10" i="86"/>
  <c r="Z12" i="86"/>
  <c r="Z13" i="86"/>
  <c r="Z16" i="86"/>
  <c r="AG16" i="86" s="1"/>
  <c r="AH16" i="86" s="1"/>
  <c r="Z19" i="86"/>
  <c r="Z20" i="86"/>
  <c r="Z22" i="86"/>
  <c r="AG22" i="86" s="1"/>
  <c r="AH22" i="86" s="1"/>
  <c r="Z23" i="86"/>
  <c r="AG23" i="86" s="1"/>
  <c r="AH23" i="86" s="1"/>
  <c r="Z27" i="86"/>
  <c r="E18" i="86"/>
  <c r="F18" i="86" s="1"/>
  <c r="L18" i="86" s="1"/>
  <c r="E9" i="86"/>
  <c r="F9" i="86" s="1"/>
  <c r="L9" i="86" s="1"/>
  <c r="E10" i="86"/>
  <c r="F10" i="86" s="1"/>
  <c r="E11" i="86"/>
  <c r="F11" i="86" s="1"/>
  <c r="L11" i="86" s="1"/>
  <c r="E12" i="86"/>
  <c r="F12" i="86" s="1"/>
  <c r="L12" i="86" s="1"/>
  <c r="E13" i="86"/>
  <c r="F13" i="86" s="1"/>
  <c r="E14" i="86"/>
  <c r="F14" i="86" s="1"/>
  <c r="L14" i="86" s="1"/>
  <c r="E15" i="86"/>
  <c r="F15" i="86" s="1"/>
  <c r="L15" i="86" s="1"/>
  <c r="E16" i="86"/>
  <c r="F16" i="86" s="1"/>
  <c r="K16" i="86" s="1"/>
  <c r="E17" i="86"/>
  <c r="F17" i="86" s="1"/>
  <c r="E19" i="86"/>
  <c r="F19" i="86" s="1"/>
  <c r="E20" i="86"/>
  <c r="F20" i="86" s="1"/>
  <c r="L20" i="86" s="1"/>
  <c r="E21" i="86"/>
  <c r="F21" i="86" s="1"/>
  <c r="E22" i="86"/>
  <c r="F22" i="86" s="1"/>
  <c r="L22" i="86" s="1"/>
  <c r="E23" i="86"/>
  <c r="F23" i="86" s="1"/>
  <c r="L23" i="86" s="1"/>
  <c r="E26" i="86"/>
  <c r="F26" i="86" s="1"/>
  <c r="E27" i="86"/>
  <c r="F27" i="86" s="1"/>
  <c r="M27" i="86" s="1"/>
  <c r="B15" i="42"/>
  <c r="Z15" i="85"/>
  <c r="Z22" i="85"/>
  <c r="AG22" i="85" s="1"/>
  <c r="AH22" i="85" s="1"/>
  <c r="Z11" i="85"/>
  <c r="Z21" i="85"/>
  <c r="Z16" i="85"/>
  <c r="Z28" i="84"/>
  <c r="AG28" i="84" s="1"/>
  <c r="Z29" i="84"/>
  <c r="Z30" i="84"/>
  <c r="Z31" i="84"/>
  <c r="Z32" i="84"/>
  <c r="Z33" i="84"/>
  <c r="Z34" i="84"/>
  <c r="Z35" i="84"/>
  <c r="Z36" i="84"/>
  <c r="Z37" i="84"/>
  <c r="Z38" i="84"/>
  <c r="Z39" i="84"/>
  <c r="Z40" i="84"/>
  <c r="Z41" i="84"/>
  <c r="Z43" i="84"/>
  <c r="Z44" i="84"/>
  <c r="Z45" i="84"/>
  <c r="Z46" i="84"/>
  <c r="Z47" i="84"/>
  <c r="Z48" i="84"/>
  <c r="Z49" i="84"/>
  <c r="Z50" i="84"/>
  <c r="Z51" i="84"/>
  <c r="Z9" i="81"/>
  <c r="Z13" i="81"/>
  <c r="Z10" i="81"/>
  <c r="Z16" i="81"/>
  <c r="Z18" i="81"/>
  <c r="Z17" i="81"/>
  <c r="Z11" i="81"/>
  <c r="Z19" i="81"/>
  <c r="Z12" i="81"/>
  <c r="E10" i="80"/>
  <c r="F10" i="80" s="1"/>
  <c r="L10" i="80" s="1"/>
  <c r="E20" i="80"/>
  <c r="F20" i="80" s="1"/>
  <c r="L20" i="80" s="1"/>
  <c r="E15" i="80"/>
  <c r="F15" i="80" s="1"/>
  <c r="E9" i="80"/>
  <c r="E11" i="80"/>
  <c r="F11" i="80" s="1"/>
  <c r="L11" i="80" s="1"/>
  <c r="E13" i="80"/>
  <c r="F13" i="80" s="1"/>
  <c r="E16" i="80"/>
  <c r="F16" i="80" s="1"/>
  <c r="L16" i="80" s="1"/>
  <c r="M16" i="80" s="1"/>
  <c r="E17" i="80"/>
  <c r="F17" i="80" s="1"/>
  <c r="E18" i="80"/>
  <c r="F18" i="80" s="1"/>
  <c r="E19" i="80"/>
  <c r="F19" i="80" s="1"/>
  <c r="L19" i="80" s="1"/>
  <c r="E22" i="80"/>
  <c r="F22" i="80" s="1"/>
  <c r="L22" i="80" s="1"/>
  <c r="E24" i="80"/>
  <c r="F24" i="80" s="1"/>
  <c r="L24" i="80" s="1"/>
  <c r="E25" i="80"/>
  <c r="F25" i="80" s="1"/>
  <c r="E26" i="80"/>
  <c r="F26" i="80" s="1"/>
  <c r="E27" i="80"/>
  <c r="F27" i="80" s="1"/>
  <c r="M27" i="80" s="1"/>
  <c r="O27" i="80" s="1"/>
  <c r="E14" i="80"/>
  <c r="F14" i="80" s="1"/>
  <c r="Z9" i="80"/>
  <c r="Z11" i="80"/>
  <c r="AG11" i="80" s="1"/>
  <c r="AH11" i="80" s="1"/>
  <c r="Z13" i="80"/>
  <c r="Z16" i="80"/>
  <c r="Z17" i="80"/>
  <c r="Z19" i="80"/>
  <c r="Z20" i="80"/>
  <c r="AG20" i="80" s="1"/>
  <c r="Z22" i="80"/>
  <c r="Z24" i="80"/>
  <c r="Z25" i="80"/>
  <c r="Z10" i="80"/>
  <c r="Z14" i="80"/>
  <c r="Z15" i="80"/>
  <c r="Z18" i="80"/>
  <c r="Z26" i="80"/>
  <c r="Z27" i="80"/>
  <c r="E9" i="85"/>
  <c r="E10" i="85"/>
  <c r="F10" i="85" s="1"/>
  <c r="L10" i="85" s="1"/>
  <c r="E11" i="85"/>
  <c r="F11" i="85" s="1"/>
  <c r="E12" i="85"/>
  <c r="F12" i="85" s="1"/>
  <c r="L12" i="85" s="1"/>
  <c r="E13" i="85"/>
  <c r="F13" i="85" s="1"/>
  <c r="E14" i="85"/>
  <c r="F14" i="85" s="1"/>
  <c r="E15" i="85"/>
  <c r="F15" i="85" s="1"/>
  <c r="E16" i="85"/>
  <c r="F16" i="85" s="1"/>
  <c r="E17" i="85"/>
  <c r="F17" i="85" s="1"/>
  <c r="L17" i="85" s="1"/>
  <c r="E24" i="85"/>
  <c r="F24" i="85" s="1"/>
  <c r="M24" i="85" s="1"/>
  <c r="Z11" i="84"/>
  <c r="Z12" i="84"/>
  <c r="Z9" i="84"/>
  <c r="Z10" i="84"/>
  <c r="Z13" i="84"/>
  <c r="Z14" i="84"/>
  <c r="Z15" i="84"/>
  <c r="Z16" i="84"/>
  <c r="AG16" i="84" s="1"/>
  <c r="Z17" i="84"/>
  <c r="Z18" i="84"/>
  <c r="Z19" i="84"/>
  <c r="Z20" i="84"/>
  <c r="AG20" i="84" s="1"/>
  <c r="Z21" i="84"/>
  <c r="Z22" i="84"/>
  <c r="Z23" i="84"/>
  <c r="Z24" i="84"/>
  <c r="Z25" i="84"/>
  <c r="Z26" i="84"/>
  <c r="Z27" i="84"/>
  <c r="AE52" i="84"/>
  <c r="AD52" i="84"/>
  <c r="AB52" i="84"/>
  <c r="AA52" i="84"/>
  <c r="Y52" i="84"/>
  <c r="X52" i="84"/>
  <c r="U52" i="84"/>
  <c r="N52" i="84"/>
  <c r="I52" i="84"/>
  <c r="D52" i="84"/>
  <c r="E9" i="81"/>
  <c r="F9" i="81" s="1"/>
  <c r="E10" i="81"/>
  <c r="F10" i="81" s="1"/>
  <c r="E11" i="81"/>
  <c r="F11" i="81" s="1"/>
  <c r="L11" i="81" s="1"/>
  <c r="E12" i="81"/>
  <c r="F12" i="81" s="1"/>
  <c r="E13" i="81"/>
  <c r="F13" i="81" s="1"/>
  <c r="E14" i="81"/>
  <c r="F14" i="81" s="1"/>
  <c r="L14" i="81" s="1"/>
  <c r="E15" i="81"/>
  <c r="F15" i="81" s="1"/>
  <c r="E16" i="81"/>
  <c r="F16" i="81" s="1"/>
  <c r="E17" i="81"/>
  <c r="F17" i="81" s="1"/>
  <c r="E18" i="81"/>
  <c r="F18" i="81" s="1"/>
  <c r="E19" i="81"/>
  <c r="F19" i="81" s="1"/>
  <c r="L19" i="81" s="1"/>
  <c r="E20" i="81"/>
  <c r="F20" i="81" s="1"/>
  <c r="AS21" i="86"/>
  <c r="AE28" i="86"/>
  <c r="AD28" i="86"/>
  <c r="AB28" i="86"/>
  <c r="AA28" i="86"/>
  <c r="Y28" i="86"/>
  <c r="X28" i="86"/>
  <c r="J28" i="86"/>
  <c r="I28" i="86"/>
  <c r="D28" i="86"/>
  <c r="AS27" i="86"/>
  <c r="AS26" i="86"/>
  <c r="AS23" i="86"/>
  <c r="AS22" i="86"/>
  <c r="AS20" i="86"/>
  <c r="AS19" i="86"/>
  <c r="AS18" i="86"/>
  <c r="AS17" i="86"/>
  <c r="AS16" i="86"/>
  <c r="AS15" i="86"/>
  <c r="AS14" i="86"/>
  <c r="AS13" i="86"/>
  <c r="AS12" i="86"/>
  <c r="AS11" i="86"/>
  <c r="AS10" i="86"/>
  <c r="AS9" i="86"/>
  <c r="N28" i="86"/>
  <c r="AE25" i="85"/>
  <c r="AD25" i="85"/>
  <c r="AB25" i="85"/>
  <c r="AA25" i="85"/>
  <c r="Y25" i="85"/>
  <c r="U25" i="85"/>
  <c r="I25" i="85"/>
  <c r="D25" i="85"/>
  <c r="C25" i="85"/>
  <c r="AS24" i="85"/>
  <c r="AF24" i="85"/>
  <c r="AC24" i="85"/>
  <c r="Z24" i="85"/>
  <c r="AS22" i="85"/>
  <c r="AS21" i="85"/>
  <c r="AF21" i="85"/>
  <c r="AC21" i="85"/>
  <c r="AS17" i="85"/>
  <c r="AF17" i="85"/>
  <c r="AC17" i="85"/>
  <c r="Z17" i="85"/>
  <c r="AS16" i="85"/>
  <c r="AF16" i="85"/>
  <c r="AC16" i="85"/>
  <c r="AS15" i="85"/>
  <c r="AF15" i="85"/>
  <c r="AC15" i="85"/>
  <c r="AG15" i="85" s="1"/>
  <c r="AS14" i="85"/>
  <c r="AF14" i="85"/>
  <c r="AC14" i="85"/>
  <c r="Z14" i="85"/>
  <c r="AS13" i="85"/>
  <c r="AF13" i="85"/>
  <c r="AC13" i="85"/>
  <c r="Z13" i="85"/>
  <c r="AS12" i="85"/>
  <c r="AF12" i="85"/>
  <c r="AC12" i="85"/>
  <c r="Z12" i="85"/>
  <c r="AS11" i="85"/>
  <c r="AF11" i="85"/>
  <c r="AS10" i="85"/>
  <c r="AF10" i="85"/>
  <c r="AC10" i="85"/>
  <c r="Z10" i="85"/>
  <c r="AF9" i="85"/>
  <c r="AC9" i="85"/>
  <c r="Z9" i="85"/>
  <c r="U66" i="84"/>
  <c r="N66" i="84"/>
  <c r="J66" i="84"/>
  <c r="I66" i="84"/>
  <c r="G66" i="84"/>
  <c r="D66" i="84"/>
  <c r="C66" i="84"/>
  <c r="U65" i="84"/>
  <c r="N65" i="84"/>
  <c r="I65" i="84"/>
  <c r="G65" i="84"/>
  <c r="D65" i="84"/>
  <c r="C65" i="84"/>
  <c r="U64" i="84"/>
  <c r="N64" i="84"/>
  <c r="J64" i="84"/>
  <c r="I64" i="84"/>
  <c r="G64" i="84"/>
  <c r="D64" i="84"/>
  <c r="C64" i="84"/>
  <c r="H66" i="84"/>
  <c r="H64" i="84"/>
  <c r="AE21" i="81"/>
  <c r="AD21" i="81"/>
  <c r="AB21" i="81"/>
  <c r="AA21" i="81"/>
  <c r="Y21" i="81"/>
  <c r="X21" i="81"/>
  <c r="U21" i="81"/>
  <c r="J21" i="81"/>
  <c r="I21" i="81"/>
  <c r="D21" i="81"/>
  <c r="C21" i="81"/>
  <c r="AF20" i="81"/>
  <c r="AC20" i="81"/>
  <c r="Z20" i="81"/>
  <c r="AF19" i="81"/>
  <c r="AC19" i="81"/>
  <c r="AF18" i="81"/>
  <c r="AC18" i="81"/>
  <c r="AF17" i="81"/>
  <c r="AC17" i="81"/>
  <c r="AF16" i="81"/>
  <c r="AC16" i="81"/>
  <c r="AF15" i="81"/>
  <c r="AC15" i="81"/>
  <c r="Z15" i="81"/>
  <c r="AF14" i="81"/>
  <c r="AC14" i="81"/>
  <c r="Z14" i="81"/>
  <c r="AF13" i="81"/>
  <c r="AF12" i="81"/>
  <c r="AC12" i="81"/>
  <c r="AF11" i="81"/>
  <c r="AC10" i="81"/>
  <c r="AF9" i="81"/>
  <c r="AC9" i="81"/>
  <c r="AE28" i="80"/>
  <c r="AD28" i="80"/>
  <c r="AB28" i="80"/>
  <c r="AA28" i="80"/>
  <c r="Y28" i="80"/>
  <c r="X28" i="80"/>
  <c r="U28" i="80"/>
  <c r="N28" i="80"/>
  <c r="J28" i="80"/>
  <c r="G28" i="80"/>
  <c r="D28" i="80"/>
  <c r="I28" i="80"/>
  <c r="C12" i="42"/>
  <c r="C11" i="111"/>
  <c r="AG32" i="84"/>
  <c r="L9" i="81"/>
  <c r="AG19" i="86"/>
  <c r="K15" i="86"/>
  <c r="AG21" i="86"/>
  <c r="AH21" i="86" s="1"/>
  <c r="L21" i="86"/>
  <c r="J25" i="85"/>
  <c r="L15" i="85"/>
  <c r="L13" i="85"/>
  <c r="L11" i="85"/>
  <c r="P38" i="84"/>
  <c r="R38" i="84" s="1"/>
  <c r="L20" i="84"/>
  <c r="M12" i="84"/>
  <c r="L47" i="84"/>
  <c r="J25" i="84"/>
  <c r="K25" i="84"/>
  <c r="F17" i="84"/>
  <c r="O41" i="84"/>
  <c r="P41" i="84" s="1"/>
  <c r="L25" i="84"/>
  <c r="L34" i="84"/>
  <c r="J23" i="84"/>
  <c r="L23" i="84"/>
  <c r="AG16" i="80"/>
  <c r="AH16" i="80" s="1"/>
  <c r="L14" i="80"/>
  <c r="M21" i="80"/>
  <c r="L17" i="80"/>
  <c r="K12" i="86"/>
  <c r="M12" i="86" s="1"/>
  <c r="O12" i="86" s="1"/>
  <c r="P12" i="86" s="1"/>
  <c r="AG17" i="86"/>
  <c r="AH17" i="86" s="1"/>
  <c r="L13" i="86"/>
  <c r="AG13" i="86"/>
  <c r="AH13" i="86" s="1"/>
  <c r="B12" i="42"/>
  <c r="B11" i="111"/>
  <c r="M45" i="84"/>
  <c r="K12" i="42"/>
  <c r="N12" i="42" s="1"/>
  <c r="J12" i="42"/>
  <c r="J11" i="111"/>
  <c r="P11" i="111" s="1"/>
  <c r="V11" i="111" s="1"/>
  <c r="I11" i="111"/>
  <c r="O11" i="111" s="1"/>
  <c r="U11" i="111" s="1"/>
  <c r="I12" i="42"/>
  <c r="L12" i="42" s="1"/>
  <c r="AG9" i="80" l="1"/>
  <c r="AH9" i="80" s="1"/>
  <c r="M19" i="80"/>
  <c r="O19" i="80" s="1"/>
  <c r="P19" i="80" s="1"/>
  <c r="AG23" i="80"/>
  <c r="AH23" i="80" s="1"/>
  <c r="AG10" i="84"/>
  <c r="AG51" i="84"/>
  <c r="AG34" i="84"/>
  <c r="AG15" i="86"/>
  <c r="AH15" i="86" s="1"/>
  <c r="AG18" i="80"/>
  <c r="AH18" i="80" s="1"/>
  <c r="AG27" i="86"/>
  <c r="AH27" i="86" s="1"/>
  <c r="AG12" i="86"/>
  <c r="AG12" i="80"/>
  <c r="AG35" i="84"/>
  <c r="AH35" i="84" s="1"/>
  <c r="M48" i="84"/>
  <c r="AG47" i="84"/>
  <c r="AG38" i="84"/>
  <c r="AH38" i="84" s="1"/>
  <c r="K19" i="110"/>
  <c r="AG17" i="100"/>
  <c r="AH17" i="100" s="1"/>
  <c r="M18" i="110"/>
  <c r="O18" i="110" s="1"/>
  <c r="K16" i="104"/>
  <c r="M16" i="104" s="1"/>
  <c r="O16" i="104" s="1"/>
  <c r="M17" i="106"/>
  <c r="O17" i="106" s="1"/>
  <c r="P17" i="106" s="1"/>
  <c r="M17" i="80"/>
  <c r="AG27" i="80"/>
  <c r="AH27" i="80" s="1"/>
  <c r="AG18" i="86"/>
  <c r="AH18" i="86" s="1"/>
  <c r="AG14" i="86"/>
  <c r="AH14" i="86" s="1"/>
  <c r="AG41" i="84"/>
  <c r="AH41" i="84" s="1"/>
  <c r="K43" i="108"/>
  <c r="M43" i="108" s="1"/>
  <c r="O43" i="108" s="1"/>
  <c r="P43" i="108" s="1"/>
  <c r="M20" i="103"/>
  <c r="O20" i="103" s="1"/>
  <c r="P20" i="103" s="1"/>
  <c r="R20" i="103" s="1"/>
  <c r="AG20" i="99"/>
  <c r="AH20" i="99" s="1"/>
  <c r="AG13" i="100"/>
  <c r="M20" i="100"/>
  <c r="M44" i="84"/>
  <c r="O44" i="84" s="1"/>
  <c r="P44" i="84" s="1"/>
  <c r="AG20" i="85"/>
  <c r="AH20" i="85" s="1"/>
  <c r="AG10" i="104"/>
  <c r="AH10" i="104" s="1"/>
  <c r="AG19" i="107"/>
  <c r="AH19" i="107" s="1"/>
  <c r="AG13" i="110"/>
  <c r="AG20" i="110"/>
  <c r="AH20" i="110" s="1"/>
  <c r="L10" i="102"/>
  <c r="AG49" i="102"/>
  <c r="AH49" i="102" s="1"/>
  <c r="U67" i="102"/>
  <c r="AG13" i="103"/>
  <c r="AH13" i="103" s="1"/>
  <c r="AG14" i="105"/>
  <c r="AH14" i="105" s="1"/>
  <c r="AG11" i="106"/>
  <c r="AH11" i="106" s="1"/>
  <c r="AG12" i="106"/>
  <c r="AH12" i="106" s="1"/>
  <c r="AG14" i="106"/>
  <c r="AH14" i="106" s="1"/>
  <c r="AG24" i="108"/>
  <c r="AH24" i="108" s="1"/>
  <c r="M40" i="108"/>
  <c r="AG47" i="108"/>
  <c r="AH47" i="108" s="1"/>
  <c r="M13" i="86"/>
  <c r="O13" i="86" s="1"/>
  <c r="P13" i="86" s="1"/>
  <c r="AG9" i="85"/>
  <c r="M21" i="84"/>
  <c r="G21" i="81"/>
  <c r="C65" i="102"/>
  <c r="C67" i="102" s="1"/>
  <c r="K18" i="109"/>
  <c r="M18" i="109" s="1"/>
  <c r="L13" i="109"/>
  <c r="M13" i="109" s="1"/>
  <c r="O13" i="109" s="1"/>
  <c r="P13" i="109" s="1"/>
  <c r="M26" i="108"/>
  <c r="O26" i="108" s="1"/>
  <c r="AG16" i="100"/>
  <c r="M34" i="102"/>
  <c r="O34" i="102" s="1"/>
  <c r="Z28" i="110"/>
  <c r="AG15" i="110"/>
  <c r="AH15" i="110" s="1"/>
  <c r="AG17" i="110"/>
  <c r="AH17" i="110" s="1"/>
  <c r="AG21" i="110"/>
  <c r="AH21" i="110" s="1"/>
  <c r="K15" i="109"/>
  <c r="M15" i="109" s="1"/>
  <c r="O15" i="109" s="1"/>
  <c r="P15" i="109" s="1"/>
  <c r="Q15" i="109" s="1"/>
  <c r="AG9" i="99"/>
  <c r="AH9" i="99" s="1"/>
  <c r="AG26" i="99"/>
  <c r="M27" i="99"/>
  <c r="M14" i="105"/>
  <c r="O14" i="105" s="1"/>
  <c r="P14" i="105" s="1"/>
  <c r="R14" i="105" s="1"/>
  <c r="M24" i="105"/>
  <c r="O24" i="105" s="1"/>
  <c r="P24" i="105" s="1"/>
  <c r="AC23" i="107"/>
  <c r="AG17" i="107"/>
  <c r="AH17" i="107" s="1"/>
  <c r="AG9" i="108"/>
  <c r="AH9" i="108" s="1"/>
  <c r="H65" i="108"/>
  <c r="AG30" i="108"/>
  <c r="AH30" i="108" s="1"/>
  <c r="M34" i="108"/>
  <c r="O34" i="108" s="1"/>
  <c r="P34" i="108" s="1"/>
  <c r="M44" i="108"/>
  <c r="O44" i="108" s="1"/>
  <c r="P44" i="108" s="1"/>
  <c r="M49" i="108"/>
  <c r="O49" i="108" s="1"/>
  <c r="P49" i="108" s="1"/>
  <c r="AG14" i="109"/>
  <c r="AH14" i="109" s="1"/>
  <c r="AG16" i="109"/>
  <c r="AH16" i="109" s="1"/>
  <c r="AG23" i="109"/>
  <c r="AH23" i="109" s="1"/>
  <c r="AG24" i="109"/>
  <c r="L32" i="84"/>
  <c r="J32" i="84"/>
  <c r="L15" i="84"/>
  <c r="K15" i="84"/>
  <c r="L29" i="84"/>
  <c r="M29" i="84" s="1"/>
  <c r="O29" i="84" s="1"/>
  <c r="K14" i="86"/>
  <c r="E66" i="84"/>
  <c r="G67" i="84"/>
  <c r="AG17" i="81"/>
  <c r="AG20" i="86"/>
  <c r="AH20" i="86" s="1"/>
  <c r="AG10" i="86"/>
  <c r="Q38" i="108"/>
  <c r="S38" i="108" s="1"/>
  <c r="T38" i="108" s="1"/>
  <c r="V38" i="108" s="1"/>
  <c r="K13" i="99"/>
  <c r="M13" i="99" s="1"/>
  <c r="O13" i="99" s="1"/>
  <c r="P13" i="99" s="1"/>
  <c r="L14" i="109"/>
  <c r="M46" i="108"/>
  <c r="O46" i="108" s="1"/>
  <c r="P46" i="108" s="1"/>
  <c r="L10" i="108"/>
  <c r="AC52" i="102"/>
  <c r="K16" i="102"/>
  <c r="M16" i="102" s="1"/>
  <c r="O16" i="102" s="1"/>
  <c r="AG18" i="102"/>
  <c r="AH18" i="102" s="1"/>
  <c r="AG11" i="104"/>
  <c r="AH11" i="104" s="1"/>
  <c r="AG12" i="104"/>
  <c r="AH12" i="104" s="1"/>
  <c r="AG16" i="105"/>
  <c r="AH16" i="105" s="1"/>
  <c r="M20" i="105"/>
  <c r="O20" i="105" s="1"/>
  <c r="AG21" i="108"/>
  <c r="AH21" i="108" s="1"/>
  <c r="C67" i="84"/>
  <c r="AF28" i="86"/>
  <c r="H25" i="85"/>
  <c r="H65" i="84"/>
  <c r="H67" i="84" s="1"/>
  <c r="M12" i="42"/>
  <c r="M21" i="103"/>
  <c r="P24" i="103"/>
  <c r="R24" i="103" s="1"/>
  <c r="AG9" i="100"/>
  <c r="AH9" i="100" s="1"/>
  <c r="AG15" i="100"/>
  <c r="AG9" i="101"/>
  <c r="D67" i="102"/>
  <c r="I67" i="102"/>
  <c r="H25" i="103"/>
  <c r="M23" i="104"/>
  <c r="M10" i="105"/>
  <c r="O10" i="105" s="1"/>
  <c r="P10" i="105" s="1"/>
  <c r="Q10" i="105" s="1"/>
  <c r="AG15" i="105"/>
  <c r="AH15" i="105" s="1"/>
  <c r="M16" i="105"/>
  <c r="O16" i="105" s="1"/>
  <c r="P16" i="105" s="1"/>
  <c r="Q16" i="105" s="1"/>
  <c r="J23" i="107"/>
  <c r="AG13" i="108"/>
  <c r="M10" i="110"/>
  <c r="O10" i="110" s="1"/>
  <c r="P10" i="110" s="1"/>
  <c r="R10" i="110" s="1"/>
  <c r="AF52" i="84"/>
  <c r="M23" i="86"/>
  <c r="O23" i="86" s="1"/>
  <c r="P23" i="86" s="1"/>
  <c r="M12" i="110"/>
  <c r="O12" i="110" s="1"/>
  <c r="P12" i="110" s="1"/>
  <c r="R12" i="110" s="1"/>
  <c r="AH19" i="110"/>
  <c r="Z28" i="86"/>
  <c r="M33" i="84"/>
  <c r="O33" i="84" s="1"/>
  <c r="AG15" i="84"/>
  <c r="AH15" i="84" s="1"/>
  <c r="AG9" i="84"/>
  <c r="AH9" i="84" s="1"/>
  <c r="AG25" i="80"/>
  <c r="AH25" i="80" s="1"/>
  <c r="AG19" i="80"/>
  <c r="AH19" i="80" s="1"/>
  <c r="AG33" i="84"/>
  <c r="AH33" i="84" s="1"/>
  <c r="AG22" i="80"/>
  <c r="AH22" i="80" s="1"/>
  <c r="AG44" i="84"/>
  <c r="AH44" i="84" s="1"/>
  <c r="AG17" i="84"/>
  <c r="AH17" i="84" s="1"/>
  <c r="AG13" i="84"/>
  <c r="AH13" i="84" s="1"/>
  <c r="AC52" i="84"/>
  <c r="J23" i="102"/>
  <c r="M23" i="102" s="1"/>
  <c r="O23" i="102" s="1"/>
  <c r="P23" i="102" s="1"/>
  <c r="Q23" i="102" s="1"/>
  <c r="L43" i="102"/>
  <c r="M19" i="110"/>
  <c r="O19" i="110" s="1"/>
  <c r="L30" i="108"/>
  <c r="J24" i="108"/>
  <c r="AG48" i="102"/>
  <c r="AG9" i="103"/>
  <c r="AH9" i="103" s="1"/>
  <c r="AG19" i="103"/>
  <c r="AH19" i="103" s="1"/>
  <c r="E21" i="106"/>
  <c r="AF23" i="107"/>
  <c r="M21" i="108"/>
  <c r="O21" i="108" s="1"/>
  <c r="P21" i="108" s="1"/>
  <c r="Q21" i="108" s="1"/>
  <c r="AG23" i="108"/>
  <c r="AG38" i="108"/>
  <c r="AH38" i="108" s="1"/>
  <c r="AF25" i="109"/>
  <c r="Z25" i="109"/>
  <c r="L16" i="99"/>
  <c r="M16" i="99" s="1"/>
  <c r="O16" i="99" s="1"/>
  <c r="P16" i="99" s="1"/>
  <c r="Q16" i="99" s="1"/>
  <c r="L22" i="109"/>
  <c r="K22" i="109"/>
  <c r="AG27" i="84"/>
  <c r="AH27" i="84" s="1"/>
  <c r="AG23" i="84"/>
  <c r="AH23" i="84" s="1"/>
  <c r="AG19" i="84"/>
  <c r="AH19" i="84" s="1"/>
  <c r="P18" i="110"/>
  <c r="R18" i="110" s="1"/>
  <c r="AG9" i="104"/>
  <c r="AH9" i="104" s="1"/>
  <c r="L22" i="104"/>
  <c r="M22" i="104" s="1"/>
  <c r="O22" i="104" s="1"/>
  <c r="P22" i="104" s="1"/>
  <c r="L19" i="102"/>
  <c r="M19" i="102" s="1"/>
  <c r="E64" i="102"/>
  <c r="L28" i="102"/>
  <c r="K13" i="100"/>
  <c r="M13" i="100" s="1"/>
  <c r="O13" i="100" s="1"/>
  <c r="L14" i="110"/>
  <c r="M14" i="110" s="1"/>
  <c r="J28" i="108"/>
  <c r="M15" i="106"/>
  <c r="O15" i="106" s="1"/>
  <c r="P15" i="106" s="1"/>
  <c r="Q15" i="106" s="1"/>
  <c r="H65" i="102"/>
  <c r="H67" i="102" s="1"/>
  <c r="AG14" i="102"/>
  <c r="AH14" i="102" s="1"/>
  <c r="AG22" i="102"/>
  <c r="AH22" i="102" s="1"/>
  <c r="M40" i="102"/>
  <c r="O40" i="102" s="1"/>
  <c r="P40" i="102" s="1"/>
  <c r="R40" i="102" s="1"/>
  <c r="M43" i="102"/>
  <c r="AG12" i="103"/>
  <c r="AH12" i="103" s="1"/>
  <c r="AG9" i="105"/>
  <c r="AH9" i="105" s="1"/>
  <c r="AC28" i="105"/>
  <c r="Z21" i="106"/>
  <c r="AG14" i="107"/>
  <c r="AH14" i="107" s="1"/>
  <c r="L12" i="100"/>
  <c r="M12" i="100" s="1"/>
  <c r="O12" i="100" s="1"/>
  <c r="P12" i="100" s="1"/>
  <c r="L14" i="103"/>
  <c r="K14" i="103"/>
  <c r="K22" i="103"/>
  <c r="L22" i="103"/>
  <c r="L10" i="104"/>
  <c r="M10" i="104" s="1"/>
  <c r="O10" i="104" s="1"/>
  <c r="P10" i="104" s="1"/>
  <c r="L19" i="108"/>
  <c r="K19" i="108"/>
  <c r="J24" i="84"/>
  <c r="C16" i="111"/>
  <c r="M26" i="80"/>
  <c r="AG50" i="84"/>
  <c r="AH50" i="84" s="1"/>
  <c r="AG46" i="84"/>
  <c r="AH46" i="84" s="1"/>
  <c r="AG37" i="84"/>
  <c r="AH37" i="84" s="1"/>
  <c r="AG29" i="84"/>
  <c r="L11" i="102"/>
  <c r="M11" i="102" s="1"/>
  <c r="M9" i="105"/>
  <c r="O9" i="105" s="1"/>
  <c r="P9" i="105" s="1"/>
  <c r="Q9" i="105" s="1"/>
  <c r="AH13" i="110"/>
  <c r="L16" i="103"/>
  <c r="M16" i="103" s="1"/>
  <c r="O16" i="103" s="1"/>
  <c r="P16" i="103" s="1"/>
  <c r="L10" i="103"/>
  <c r="J28" i="102"/>
  <c r="L14" i="102"/>
  <c r="M14" i="102" s="1"/>
  <c r="O14" i="102" s="1"/>
  <c r="P14" i="102" s="1"/>
  <c r="M10" i="101"/>
  <c r="O10" i="101" s="1"/>
  <c r="M14" i="100"/>
  <c r="O14" i="100" s="1"/>
  <c r="P14" i="100" s="1"/>
  <c r="R14" i="100" s="1"/>
  <c r="E28" i="105"/>
  <c r="AG13" i="109"/>
  <c r="AH13" i="109" s="1"/>
  <c r="K24" i="84"/>
  <c r="K43" i="84"/>
  <c r="K9" i="84"/>
  <c r="M9" i="84" s="1"/>
  <c r="J30" i="84"/>
  <c r="M30" i="84" s="1"/>
  <c r="O30" i="84" s="1"/>
  <c r="L21" i="85"/>
  <c r="M21" i="85" s="1"/>
  <c r="O21" i="85" s="1"/>
  <c r="P21" i="85" s="1"/>
  <c r="AG15" i="80"/>
  <c r="AH15" i="80" s="1"/>
  <c r="AG17" i="80"/>
  <c r="AH17" i="80" s="1"/>
  <c r="K22" i="86"/>
  <c r="M22" i="86" s="1"/>
  <c r="O22" i="86" s="1"/>
  <c r="P22" i="86" s="1"/>
  <c r="M18" i="86"/>
  <c r="O18" i="86" s="1"/>
  <c r="P18" i="86" s="1"/>
  <c r="R18" i="86" s="1"/>
  <c r="M10" i="80"/>
  <c r="O10" i="80" s="1"/>
  <c r="P10" i="80" s="1"/>
  <c r="M18" i="84"/>
  <c r="O18" i="84" s="1"/>
  <c r="P18" i="84" s="1"/>
  <c r="AG25" i="84"/>
  <c r="AH25" i="84" s="1"/>
  <c r="AG21" i="84"/>
  <c r="AH21" i="84" s="1"/>
  <c r="AG11" i="84"/>
  <c r="AH11" i="84" s="1"/>
  <c r="AG48" i="84"/>
  <c r="AH48" i="84" s="1"/>
  <c r="AG39" i="84"/>
  <c r="AH39" i="84" s="1"/>
  <c r="AG31" i="84"/>
  <c r="AH31" i="84" s="1"/>
  <c r="M11" i="86"/>
  <c r="L11" i="103"/>
  <c r="M11" i="103" s="1"/>
  <c r="O11" i="103" s="1"/>
  <c r="P11" i="103" s="1"/>
  <c r="K13" i="103"/>
  <c r="M13" i="103" s="1"/>
  <c r="H52" i="102"/>
  <c r="M47" i="102"/>
  <c r="O47" i="102" s="1"/>
  <c r="P47" i="102" s="1"/>
  <c r="M21" i="102"/>
  <c r="O21" i="102" s="1"/>
  <c r="K18" i="101"/>
  <c r="H67" i="108"/>
  <c r="F9" i="106"/>
  <c r="L30" i="102"/>
  <c r="J30" i="102"/>
  <c r="L37" i="102"/>
  <c r="M37" i="102" s="1"/>
  <c r="O37" i="102" s="1"/>
  <c r="P37" i="102" s="1"/>
  <c r="AG43" i="102"/>
  <c r="AH43" i="102" s="1"/>
  <c r="L51" i="102"/>
  <c r="M51" i="102" s="1"/>
  <c r="G28" i="104"/>
  <c r="M18" i="105"/>
  <c r="O18" i="105" s="1"/>
  <c r="P18" i="105" s="1"/>
  <c r="Q18" i="105" s="1"/>
  <c r="L12" i="106"/>
  <c r="M12" i="106" s="1"/>
  <c r="O12" i="106" s="1"/>
  <c r="P12" i="106" s="1"/>
  <c r="AG21" i="107"/>
  <c r="AH21" i="107" s="1"/>
  <c r="H52" i="108"/>
  <c r="AG34" i="108"/>
  <c r="AH34" i="108" s="1"/>
  <c r="L35" i="108"/>
  <c r="M35" i="108" s="1"/>
  <c r="O35" i="108" s="1"/>
  <c r="P35" i="108" s="1"/>
  <c r="Q35" i="108" s="1"/>
  <c r="AG12" i="110"/>
  <c r="AH12" i="110" s="1"/>
  <c r="H28" i="110"/>
  <c r="M17" i="107"/>
  <c r="O17" i="107" s="1"/>
  <c r="AG36" i="108"/>
  <c r="AH36" i="108" s="1"/>
  <c r="M9" i="99"/>
  <c r="O9" i="99" s="1"/>
  <c r="M11" i="99"/>
  <c r="O11" i="99" s="1"/>
  <c r="H21" i="100"/>
  <c r="M18" i="100"/>
  <c r="J23" i="101"/>
  <c r="AG16" i="101"/>
  <c r="AH16" i="101" s="1"/>
  <c r="AG44" i="102"/>
  <c r="AH44" i="102" s="1"/>
  <c r="AG16" i="104"/>
  <c r="AH16" i="104" s="1"/>
  <c r="AG26" i="104"/>
  <c r="AH26" i="104" s="1"/>
  <c r="M27" i="104"/>
  <c r="M27" i="105"/>
  <c r="AG13" i="107"/>
  <c r="AH13" i="107" s="1"/>
  <c r="AG20" i="107"/>
  <c r="AH20" i="107" s="1"/>
  <c r="AG11" i="108"/>
  <c r="AH11" i="108" s="1"/>
  <c r="M14" i="108"/>
  <c r="O14" i="108" s="1"/>
  <c r="P14" i="108" s="1"/>
  <c r="AG29" i="108"/>
  <c r="AH29" i="108" s="1"/>
  <c r="AG37" i="108"/>
  <c r="AH37" i="108" s="1"/>
  <c r="AG50" i="108"/>
  <c r="AH50" i="108" s="1"/>
  <c r="N67" i="108"/>
  <c r="AG14" i="110"/>
  <c r="AG26" i="110"/>
  <c r="AH26" i="110" s="1"/>
  <c r="M27" i="110"/>
  <c r="O27" i="110" s="1"/>
  <c r="L28" i="84"/>
  <c r="J28" i="84"/>
  <c r="K28" i="84"/>
  <c r="K12" i="101"/>
  <c r="L12" i="101"/>
  <c r="L18" i="106"/>
  <c r="M18" i="106" s="1"/>
  <c r="O18" i="106" s="1"/>
  <c r="L32" i="108"/>
  <c r="J32" i="108"/>
  <c r="K16" i="100"/>
  <c r="L16" i="100"/>
  <c r="L13" i="104"/>
  <c r="M13" i="104" s="1"/>
  <c r="L11" i="105"/>
  <c r="M11" i="105" s="1"/>
  <c r="O11" i="105" s="1"/>
  <c r="F28" i="105"/>
  <c r="K18" i="107"/>
  <c r="L18" i="107"/>
  <c r="K16" i="84"/>
  <c r="L16" i="84"/>
  <c r="L25" i="99"/>
  <c r="K25" i="99"/>
  <c r="L14" i="84"/>
  <c r="K14" i="84"/>
  <c r="L16" i="85"/>
  <c r="K16" i="85"/>
  <c r="K22" i="84"/>
  <c r="L22" i="84"/>
  <c r="L22" i="105"/>
  <c r="M22" i="105" s="1"/>
  <c r="K12" i="107"/>
  <c r="L12" i="107"/>
  <c r="M22" i="80"/>
  <c r="O22" i="80" s="1"/>
  <c r="P22" i="80" s="1"/>
  <c r="AH19" i="86"/>
  <c r="AH14" i="80"/>
  <c r="AC28" i="80"/>
  <c r="AH12" i="86"/>
  <c r="M46" i="84"/>
  <c r="O46" i="84" s="1"/>
  <c r="P46" i="84" s="1"/>
  <c r="M27" i="84"/>
  <c r="O27" i="84" s="1"/>
  <c r="P27" i="84" s="1"/>
  <c r="R27" i="84" s="1"/>
  <c r="M34" i="84"/>
  <c r="O34" i="84" s="1"/>
  <c r="P34" i="84" s="1"/>
  <c r="R34" i="84" s="1"/>
  <c r="F21" i="106"/>
  <c r="AG19" i="81"/>
  <c r="AH19" i="81" s="1"/>
  <c r="I67" i="84"/>
  <c r="U67" i="84"/>
  <c r="Z25" i="85"/>
  <c r="AG11" i="81"/>
  <c r="AH11" i="81" s="1"/>
  <c r="AG11" i="85"/>
  <c r="AH11" i="85" s="1"/>
  <c r="AF28" i="80"/>
  <c r="AG49" i="84"/>
  <c r="AH49" i="84" s="1"/>
  <c r="AG45" i="84"/>
  <c r="AG43" i="84"/>
  <c r="AH43" i="84" s="1"/>
  <c r="AG40" i="84"/>
  <c r="AH40" i="84" s="1"/>
  <c r="AG36" i="84"/>
  <c r="AH36" i="84" s="1"/>
  <c r="AG30" i="84"/>
  <c r="AH30" i="84" s="1"/>
  <c r="AG24" i="84"/>
  <c r="AG12" i="84"/>
  <c r="M40" i="84"/>
  <c r="O40" i="84" s="1"/>
  <c r="P40" i="84" s="1"/>
  <c r="G28" i="86"/>
  <c r="G52" i="84"/>
  <c r="AC28" i="99"/>
  <c r="G21" i="100"/>
  <c r="AG19" i="100"/>
  <c r="AH19" i="100" s="1"/>
  <c r="AC23" i="101"/>
  <c r="AF52" i="102"/>
  <c r="M49" i="102"/>
  <c r="O49" i="102" s="1"/>
  <c r="P49" i="102" s="1"/>
  <c r="M26" i="104"/>
  <c r="H28" i="105"/>
  <c r="H21" i="106"/>
  <c r="C23" i="107"/>
  <c r="AG10" i="108"/>
  <c r="AH10" i="108" s="1"/>
  <c r="AG20" i="108"/>
  <c r="AG26" i="108"/>
  <c r="AH26" i="108" s="1"/>
  <c r="AG27" i="108"/>
  <c r="AH27" i="108" s="1"/>
  <c r="AG31" i="108"/>
  <c r="AH31" i="108" s="1"/>
  <c r="I67" i="108"/>
  <c r="AH26" i="99"/>
  <c r="AG11" i="100"/>
  <c r="AH11" i="100" s="1"/>
  <c r="AH12" i="100"/>
  <c r="AG16" i="102"/>
  <c r="AH16" i="102" s="1"/>
  <c r="AG20" i="102"/>
  <c r="AH20" i="102" s="1"/>
  <c r="AG25" i="102"/>
  <c r="AH25" i="102" s="1"/>
  <c r="AG27" i="102"/>
  <c r="AH27" i="102" s="1"/>
  <c r="M45" i="102"/>
  <c r="O45" i="102" s="1"/>
  <c r="P45" i="102" s="1"/>
  <c r="Q45" i="102" s="1"/>
  <c r="AG46" i="102"/>
  <c r="AH46" i="102" s="1"/>
  <c r="AG47" i="102"/>
  <c r="AH47" i="102" s="1"/>
  <c r="AG14" i="103"/>
  <c r="AH14" i="103" s="1"/>
  <c r="AG16" i="103"/>
  <c r="AH16" i="103" s="1"/>
  <c r="AG17" i="103"/>
  <c r="AH17" i="103" s="1"/>
  <c r="M21" i="104"/>
  <c r="O21" i="104" s="1"/>
  <c r="AG22" i="105"/>
  <c r="AH22" i="105" s="1"/>
  <c r="M16" i="107"/>
  <c r="O16" i="107" s="1"/>
  <c r="P16" i="107" s="1"/>
  <c r="Q16" i="107" s="1"/>
  <c r="AG19" i="108"/>
  <c r="AH19" i="108" s="1"/>
  <c r="AG44" i="108"/>
  <c r="AH44" i="108" s="1"/>
  <c r="D67" i="84"/>
  <c r="N67" i="84"/>
  <c r="AH9" i="85"/>
  <c r="AF25" i="85"/>
  <c r="AG13" i="85"/>
  <c r="AH13" i="85" s="1"/>
  <c r="AG14" i="85"/>
  <c r="AH14" i="85" s="1"/>
  <c r="AG16" i="85"/>
  <c r="AH16" i="85" s="1"/>
  <c r="M26" i="84"/>
  <c r="O26" i="84" s="1"/>
  <c r="H52" i="84"/>
  <c r="M10" i="102"/>
  <c r="O10" i="102" s="1"/>
  <c r="P10" i="102" s="1"/>
  <c r="M16" i="110"/>
  <c r="O16" i="110" s="1"/>
  <c r="P16" i="110" s="1"/>
  <c r="M9" i="107"/>
  <c r="O9" i="107" s="1"/>
  <c r="P9" i="107" s="1"/>
  <c r="R9" i="107" s="1"/>
  <c r="M19" i="99"/>
  <c r="O19" i="99" s="1"/>
  <c r="P19" i="99" s="1"/>
  <c r="Q19" i="99" s="1"/>
  <c r="M26" i="99"/>
  <c r="O26" i="99" s="1"/>
  <c r="P26" i="99" s="1"/>
  <c r="M15" i="100"/>
  <c r="O15" i="100" s="1"/>
  <c r="P15" i="100" s="1"/>
  <c r="AG18" i="101"/>
  <c r="AG20" i="101"/>
  <c r="AH20" i="101" s="1"/>
  <c r="AG9" i="102"/>
  <c r="AH9" i="102" s="1"/>
  <c r="AG45" i="102"/>
  <c r="AH45" i="102" s="1"/>
  <c r="AC28" i="104"/>
  <c r="F28" i="104"/>
  <c r="AG11" i="105"/>
  <c r="AH11" i="105" s="1"/>
  <c r="AG24" i="105"/>
  <c r="AH24" i="105" s="1"/>
  <c r="M26" i="105"/>
  <c r="AG15" i="106"/>
  <c r="AH15" i="106" s="1"/>
  <c r="E23" i="107"/>
  <c r="M13" i="107"/>
  <c r="O13" i="107" s="1"/>
  <c r="P13" i="107" s="1"/>
  <c r="R13" i="107" s="1"/>
  <c r="AG15" i="107"/>
  <c r="AH15" i="107" s="1"/>
  <c r="M31" i="108"/>
  <c r="O31" i="108" s="1"/>
  <c r="K22" i="110"/>
  <c r="L22" i="110"/>
  <c r="AG43" i="108"/>
  <c r="AH43" i="108" s="1"/>
  <c r="G67" i="108"/>
  <c r="AG22" i="110"/>
  <c r="AH22" i="110" s="1"/>
  <c r="AG23" i="110"/>
  <c r="AH23" i="110" s="1"/>
  <c r="G52" i="108"/>
  <c r="AG51" i="108"/>
  <c r="AH51" i="108" s="1"/>
  <c r="D67" i="108"/>
  <c r="AG10" i="109"/>
  <c r="AH10" i="109" s="1"/>
  <c r="H25" i="109"/>
  <c r="AG17" i="109"/>
  <c r="AH17" i="109" s="1"/>
  <c r="AG16" i="110"/>
  <c r="AH16" i="110" s="1"/>
  <c r="L37" i="84"/>
  <c r="M37" i="84" s="1"/>
  <c r="B12" i="111"/>
  <c r="B11" i="42"/>
  <c r="K15" i="80"/>
  <c r="L15" i="80"/>
  <c r="K22" i="85"/>
  <c r="M22" i="85" s="1"/>
  <c r="O22" i="85" s="1"/>
  <c r="P22" i="85" s="1"/>
  <c r="AH9" i="86"/>
  <c r="K25" i="80"/>
  <c r="L25" i="80"/>
  <c r="Q9" i="104"/>
  <c r="R9" i="104"/>
  <c r="F64" i="102"/>
  <c r="L9" i="102"/>
  <c r="K9" i="102"/>
  <c r="K64" i="102" s="1"/>
  <c r="F44" i="102"/>
  <c r="L44" i="102" s="1"/>
  <c r="M44" i="102" s="1"/>
  <c r="E52" i="102"/>
  <c r="AG21" i="80"/>
  <c r="AH21" i="80" s="1"/>
  <c r="AH29" i="84"/>
  <c r="AG10" i="85"/>
  <c r="AH10" i="85" s="1"/>
  <c r="L17" i="81"/>
  <c r="M17" i="81" s="1"/>
  <c r="M17" i="85"/>
  <c r="O17" i="85" s="1"/>
  <c r="P17" i="85" s="1"/>
  <c r="K14" i="80"/>
  <c r="M14" i="80" s="1"/>
  <c r="O14" i="80" s="1"/>
  <c r="P14" i="80" s="1"/>
  <c r="F9" i="80"/>
  <c r="L9" i="80" s="1"/>
  <c r="M9" i="80" s="1"/>
  <c r="O9" i="80" s="1"/>
  <c r="P9" i="80" s="1"/>
  <c r="E28" i="80"/>
  <c r="AG12" i="81"/>
  <c r="AH12" i="81" s="1"/>
  <c r="AG9" i="81"/>
  <c r="AH9" i="81" s="1"/>
  <c r="AH15" i="85"/>
  <c r="M47" i="84"/>
  <c r="M43" i="84"/>
  <c r="O43" i="84" s="1"/>
  <c r="P43" i="84" s="1"/>
  <c r="P26" i="84"/>
  <c r="R26" i="84" s="1"/>
  <c r="Q17" i="101"/>
  <c r="R17" i="101"/>
  <c r="AH10" i="86"/>
  <c r="AH12" i="80"/>
  <c r="AH11" i="86"/>
  <c r="R19" i="99"/>
  <c r="Z28" i="80"/>
  <c r="M11" i="80"/>
  <c r="O11" i="80" s="1"/>
  <c r="P11" i="80" s="1"/>
  <c r="P33" i="84"/>
  <c r="Q33" i="84" s="1"/>
  <c r="L10" i="81"/>
  <c r="AF21" i="81"/>
  <c r="AG16" i="81"/>
  <c r="AH16" i="81" s="1"/>
  <c r="L15" i="81"/>
  <c r="M15" i="81" s="1"/>
  <c r="O15" i="81" s="1"/>
  <c r="P15" i="81" s="1"/>
  <c r="K10" i="81"/>
  <c r="O24" i="85"/>
  <c r="P24" i="85" s="1"/>
  <c r="R24" i="85" s="1"/>
  <c r="K13" i="85"/>
  <c r="M13" i="85" s="1"/>
  <c r="O13" i="85" s="1"/>
  <c r="P13" i="85" s="1"/>
  <c r="K13" i="80"/>
  <c r="L13" i="80"/>
  <c r="M20" i="80"/>
  <c r="O20" i="80" s="1"/>
  <c r="P20" i="80" s="1"/>
  <c r="R20" i="80" s="1"/>
  <c r="L17" i="86"/>
  <c r="M17" i="86" s="1"/>
  <c r="L49" i="84"/>
  <c r="M49" i="84" s="1"/>
  <c r="O49" i="84" s="1"/>
  <c r="P49" i="84" s="1"/>
  <c r="F10" i="84"/>
  <c r="E64" i="84"/>
  <c r="E51" i="84"/>
  <c r="F51" i="84" s="1"/>
  <c r="C52" i="84"/>
  <c r="AG18" i="85"/>
  <c r="AH18" i="85" s="1"/>
  <c r="AG19" i="85"/>
  <c r="AH19" i="85" s="1"/>
  <c r="AH20" i="80"/>
  <c r="H21" i="81"/>
  <c r="M13" i="108"/>
  <c r="Q33" i="108"/>
  <c r="M11" i="101"/>
  <c r="M13" i="101"/>
  <c r="O13" i="101" s="1"/>
  <c r="P13" i="101" s="1"/>
  <c r="Q13" i="101" s="1"/>
  <c r="AG11" i="101"/>
  <c r="AH11" i="101" s="1"/>
  <c r="E15" i="101"/>
  <c r="F15" i="101" s="1"/>
  <c r="F23" i="101" s="1"/>
  <c r="C23" i="101"/>
  <c r="AG12" i="102"/>
  <c r="AH12" i="102" s="1"/>
  <c r="F13" i="102"/>
  <c r="E65" i="102"/>
  <c r="AG23" i="102"/>
  <c r="AH23" i="102" s="1"/>
  <c r="J24" i="102"/>
  <c r="K24" i="102"/>
  <c r="M27" i="102"/>
  <c r="AG34" i="102"/>
  <c r="AH34" i="102" s="1"/>
  <c r="O39" i="102"/>
  <c r="P39" i="102" s="1"/>
  <c r="AG40" i="102"/>
  <c r="AH40" i="102" s="1"/>
  <c r="AG41" i="102"/>
  <c r="AH41" i="102" s="1"/>
  <c r="L45" i="108"/>
  <c r="M45" i="108" s="1"/>
  <c r="G28" i="110"/>
  <c r="M26" i="110"/>
  <c r="O26" i="110" s="1"/>
  <c r="P26" i="110" s="1"/>
  <c r="R26" i="110" s="1"/>
  <c r="K20" i="86"/>
  <c r="M20" i="86" s="1"/>
  <c r="O20" i="86" s="1"/>
  <c r="P20" i="86" s="1"/>
  <c r="E28" i="86"/>
  <c r="M23" i="80"/>
  <c r="O23" i="80" s="1"/>
  <c r="P23" i="80" s="1"/>
  <c r="Q23" i="80" s="1"/>
  <c r="AG10" i="81"/>
  <c r="AH10" i="81" s="1"/>
  <c r="AG15" i="81"/>
  <c r="AH15" i="81" s="1"/>
  <c r="AG17" i="85"/>
  <c r="AH17" i="85" s="1"/>
  <c r="AG21" i="85"/>
  <c r="AH21" i="85" s="1"/>
  <c r="AG24" i="85"/>
  <c r="AH24" i="85" s="1"/>
  <c r="AG13" i="81"/>
  <c r="AH13" i="81" s="1"/>
  <c r="R24" i="104"/>
  <c r="S24" i="104" s="1"/>
  <c r="T24" i="104" s="1"/>
  <c r="V24" i="104" s="1"/>
  <c r="W24" i="104" s="1"/>
  <c r="Q11" i="104"/>
  <c r="R21" i="110"/>
  <c r="Q17" i="110"/>
  <c r="S17" i="110" s="1"/>
  <c r="T17" i="110" s="1"/>
  <c r="V17" i="110" s="1"/>
  <c r="M29" i="102"/>
  <c r="L24" i="102"/>
  <c r="M10" i="99"/>
  <c r="O10" i="99" s="1"/>
  <c r="P10" i="99" s="1"/>
  <c r="P11" i="99"/>
  <c r="M23" i="99"/>
  <c r="P26" i="108"/>
  <c r="H28" i="99"/>
  <c r="AG14" i="99"/>
  <c r="AH14" i="99" s="1"/>
  <c r="K15" i="99"/>
  <c r="L15" i="99"/>
  <c r="M21" i="99"/>
  <c r="O21" i="99" s="1"/>
  <c r="P21" i="99" s="1"/>
  <c r="R21" i="99" s="1"/>
  <c r="M24" i="99"/>
  <c r="O24" i="99" s="1"/>
  <c r="P24" i="99" s="1"/>
  <c r="L9" i="100"/>
  <c r="M9" i="100" s="1"/>
  <c r="AH15" i="100"/>
  <c r="AH16" i="100"/>
  <c r="AG10" i="101"/>
  <c r="AH10" i="101" s="1"/>
  <c r="Z23" i="101"/>
  <c r="K19" i="101"/>
  <c r="L19" i="101"/>
  <c r="AG21" i="102"/>
  <c r="AH21" i="102" s="1"/>
  <c r="L36" i="102"/>
  <c r="M36" i="102" s="1"/>
  <c r="AG38" i="102"/>
  <c r="AH38" i="102" s="1"/>
  <c r="M48" i="102"/>
  <c r="O48" i="102" s="1"/>
  <c r="P48" i="102" s="1"/>
  <c r="G52" i="102"/>
  <c r="M10" i="103"/>
  <c r="O10" i="103" s="1"/>
  <c r="Z25" i="103"/>
  <c r="AG11" i="103"/>
  <c r="AH11" i="103" s="1"/>
  <c r="AH15" i="103"/>
  <c r="K25" i="105"/>
  <c r="L25" i="105"/>
  <c r="AG27" i="105"/>
  <c r="AH27" i="105" s="1"/>
  <c r="M19" i="106"/>
  <c r="F12" i="108"/>
  <c r="F64" i="108" s="1"/>
  <c r="E52" i="108"/>
  <c r="E64" i="108"/>
  <c r="AG17" i="108"/>
  <c r="AH17" i="108" s="1"/>
  <c r="Z52" i="108"/>
  <c r="F18" i="108"/>
  <c r="E66" i="108"/>
  <c r="F20" i="108"/>
  <c r="F65" i="108" s="1"/>
  <c r="E65" i="108"/>
  <c r="L22" i="108"/>
  <c r="M22" i="108" s="1"/>
  <c r="O22" i="108" s="1"/>
  <c r="P22" i="108" s="1"/>
  <c r="AG25" i="108"/>
  <c r="AH25" i="108" s="1"/>
  <c r="AC25" i="109"/>
  <c r="AG9" i="109"/>
  <c r="AH9" i="109" s="1"/>
  <c r="L10" i="109"/>
  <c r="M10" i="109" s="1"/>
  <c r="AH24" i="109"/>
  <c r="AC28" i="110"/>
  <c r="K15" i="110"/>
  <c r="L15" i="110"/>
  <c r="Q18" i="110"/>
  <c r="S18" i="110" s="1"/>
  <c r="T18" i="110" s="1"/>
  <c r="V18" i="110" s="1"/>
  <c r="P34" i="102"/>
  <c r="P51" i="108"/>
  <c r="L20" i="99"/>
  <c r="M20" i="99" s="1"/>
  <c r="O20" i="99" s="1"/>
  <c r="P20" i="99" s="1"/>
  <c r="AG22" i="99"/>
  <c r="AH22" i="99" s="1"/>
  <c r="L20" i="101"/>
  <c r="M20" i="101" s="1"/>
  <c r="O20" i="101" s="1"/>
  <c r="P20" i="101" s="1"/>
  <c r="AG10" i="102"/>
  <c r="AH10" i="102" s="1"/>
  <c r="Z52" i="102"/>
  <c r="L15" i="102"/>
  <c r="M15" i="102" s="1"/>
  <c r="AG17" i="102"/>
  <c r="AH17" i="102" s="1"/>
  <c r="L18" i="102"/>
  <c r="F66" i="102"/>
  <c r="L26" i="102"/>
  <c r="M26" i="102" s="1"/>
  <c r="O26" i="102" s="1"/>
  <c r="P26" i="102" s="1"/>
  <c r="L31" i="102"/>
  <c r="M31" i="102" s="1"/>
  <c r="P21" i="104"/>
  <c r="M23" i="84"/>
  <c r="O23" i="84" s="1"/>
  <c r="P23" i="84" s="1"/>
  <c r="AG13" i="80"/>
  <c r="AH13" i="80" s="1"/>
  <c r="L19" i="84"/>
  <c r="M19" i="84" s="1"/>
  <c r="O19" i="84" s="1"/>
  <c r="P19" i="84" s="1"/>
  <c r="M25" i="84"/>
  <c r="O25" i="84" s="1"/>
  <c r="P25" i="84" s="1"/>
  <c r="L50" i="84"/>
  <c r="M50" i="84" s="1"/>
  <c r="O50" i="84" s="1"/>
  <c r="P50" i="84" s="1"/>
  <c r="AC28" i="86"/>
  <c r="M15" i="86"/>
  <c r="AC21" i="81"/>
  <c r="AG12" i="85"/>
  <c r="AH12" i="85" s="1"/>
  <c r="M26" i="86"/>
  <c r="H28" i="80"/>
  <c r="AG23" i="85"/>
  <c r="AH23" i="85" s="1"/>
  <c r="D16" i="42"/>
  <c r="D22" i="42" s="1"/>
  <c r="R11" i="104"/>
  <c r="R33" i="108"/>
  <c r="Q21" i="110"/>
  <c r="P16" i="102"/>
  <c r="M23" i="103"/>
  <c r="L20" i="104"/>
  <c r="M20" i="104" s="1"/>
  <c r="E28" i="104"/>
  <c r="C52" i="102"/>
  <c r="AG19" i="102"/>
  <c r="AH19" i="102" s="1"/>
  <c r="AG28" i="102"/>
  <c r="AH28" i="102" s="1"/>
  <c r="AG32" i="102"/>
  <c r="AH32" i="102" s="1"/>
  <c r="Z28" i="99"/>
  <c r="P22" i="101"/>
  <c r="M14" i="109"/>
  <c r="O14" i="109" s="1"/>
  <c r="P14" i="109" s="1"/>
  <c r="Q14" i="109" s="1"/>
  <c r="C52" i="108"/>
  <c r="P11" i="105"/>
  <c r="F12" i="99"/>
  <c r="L12" i="99" s="1"/>
  <c r="M12" i="99" s="1"/>
  <c r="O12" i="99" s="1"/>
  <c r="P12" i="99" s="1"/>
  <c r="E28" i="99"/>
  <c r="AG15" i="99"/>
  <c r="AH15" i="99" s="1"/>
  <c r="M17" i="99"/>
  <c r="O17" i="99" s="1"/>
  <c r="P17" i="99" s="1"/>
  <c r="AG21" i="99"/>
  <c r="M22" i="99"/>
  <c r="O22" i="99" s="1"/>
  <c r="P22" i="99" s="1"/>
  <c r="AG27" i="99"/>
  <c r="AH27" i="99" s="1"/>
  <c r="Z21" i="100"/>
  <c r="F10" i="100"/>
  <c r="K10" i="100" s="1"/>
  <c r="E21" i="100"/>
  <c r="AF21" i="100"/>
  <c r="AH13" i="100"/>
  <c r="AG14" i="100"/>
  <c r="AH14" i="100" s="1"/>
  <c r="AG18" i="100"/>
  <c r="AH18" i="100" s="1"/>
  <c r="AG20" i="100"/>
  <c r="AH20" i="100" s="1"/>
  <c r="K9" i="101"/>
  <c r="M9" i="101" s="1"/>
  <c r="M14" i="101"/>
  <c r="O14" i="101" s="1"/>
  <c r="P14" i="101" s="1"/>
  <c r="M16" i="101"/>
  <c r="O16" i="101" s="1"/>
  <c r="P16" i="101" s="1"/>
  <c r="Q16" i="101" s="1"/>
  <c r="AH18" i="101"/>
  <c r="AG30" i="102"/>
  <c r="AH30" i="102" s="1"/>
  <c r="AG35" i="102"/>
  <c r="AH35" i="102" s="1"/>
  <c r="AG36" i="102"/>
  <c r="AH36" i="102" s="1"/>
  <c r="AG37" i="102"/>
  <c r="AH37" i="102" s="1"/>
  <c r="M46" i="102"/>
  <c r="O46" i="102" s="1"/>
  <c r="P46" i="102" s="1"/>
  <c r="Q46" i="102" s="1"/>
  <c r="AH48" i="102"/>
  <c r="N67" i="102"/>
  <c r="F9" i="103"/>
  <c r="E25" i="103"/>
  <c r="AC25" i="103"/>
  <c r="AF25" i="103"/>
  <c r="M15" i="103"/>
  <c r="O15" i="103" s="1"/>
  <c r="P15" i="103" s="1"/>
  <c r="M17" i="103"/>
  <c r="O17" i="103" s="1"/>
  <c r="P17" i="103" s="1"/>
  <c r="K18" i="103"/>
  <c r="L18" i="103"/>
  <c r="AG10" i="105"/>
  <c r="AH10" i="105" s="1"/>
  <c r="Z28" i="105"/>
  <c r="AG13" i="105"/>
  <c r="AH13" i="105" s="1"/>
  <c r="L15" i="105"/>
  <c r="M15" i="105" s="1"/>
  <c r="AG23" i="105"/>
  <c r="AH23" i="105" s="1"/>
  <c r="AG26" i="105"/>
  <c r="AH26" i="105" s="1"/>
  <c r="AG13" i="106"/>
  <c r="AH13" i="106" s="1"/>
  <c r="K16" i="106"/>
  <c r="L16" i="106"/>
  <c r="AG11" i="107"/>
  <c r="AH11" i="107" s="1"/>
  <c r="Z23" i="107"/>
  <c r="AG12" i="107"/>
  <c r="AH12" i="107" s="1"/>
  <c r="M20" i="107"/>
  <c r="O20" i="107" s="1"/>
  <c r="P20" i="107" s="1"/>
  <c r="AC52" i="108"/>
  <c r="AH13" i="108"/>
  <c r="L17" i="108"/>
  <c r="M17" i="108" s="1"/>
  <c r="O17" i="108" s="1"/>
  <c r="AF52" i="108"/>
  <c r="AG18" i="108"/>
  <c r="AH18" i="108" s="1"/>
  <c r="AH23" i="108"/>
  <c r="M48" i="108"/>
  <c r="F9" i="109"/>
  <c r="F25" i="109" s="1"/>
  <c r="E25" i="109"/>
  <c r="L12" i="109"/>
  <c r="M12" i="109" s="1"/>
  <c r="O12" i="109" s="1"/>
  <c r="P12" i="109" s="1"/>
  <c r="AG15" i="109"/>
  <c r="AH15" i="109" s="1"/>
  <c r="L16" i="109"/>
  <c r="K16" i="109"/>
  <c r="AG18" i="109"/>
  <c r="AH18" i="109" s="1"/>
  <c r="AG19" i="109"/>
  <c r="AH19" i="109" s="1"/>
  <c r="L9" i="110"/>
  <c r="M9" i="110" s="1"/>
  <c r="F28" i="110"/>
  <c r="AF28" i="110"/>
  <c r="L34" i="519"/>
  <c r="M34" i="519"/>
  <c r="N34" i="519"/>
  <c r="M14" i="104"/>
  <c r="M20" i="102"/>
  <c r="O20" i="102" s="1"/>
  <c r="P20" i="102" s="1"/>
  <c r="AG17" i="99"/>
  <c r="AG19" i="99"/>
  <c r="AH19" i="99" s="1"/>
  <c r="AG23" i="99"/>
  <c r="AH23" i="99" s="1"/>
  <c r="AG13" i="101"/>
  <c r="AH13" i="101" s="1"/>
  <c r="AG19" i="101"/>
  <c r="AH19" i="101" s="1"/>
  <c r="AG29" i="102"/>
  <c r="AH29" i="102" s="1"/>
  <c r="AG31" i="102"/>
  <c r="AH31" i="102" s="1"/>
  <c r="AG33" i="102"/>
  <c r="AH33" i="102" s="1"/>
  <c r="G67" i="102"/>
  <c r="Z28" i="104"/>
  <c r="K12" i="104"/>
  <c r="M12" i="104" s="1"/>
  <c r="O12" i="104" s="1"/>
  <c r="P12" i="104" s="1"/>
  <c r="Q12" i="104" s="1"/>
  <c r="AG19" i="104"/>
  <c r="AH19" i="104" s="1"/>
  <c r="M23" i="105"/>
  <c r="O23" i="105" s="1"/>
  <c r="P23" i="105" s="1"/>
  <c r="AG25" i="105"/>
  <c r="AH25" i="105" s="1"/>
  <c r="AG16" i="106"/>
  <c r="AH16" i="106" s="1"/>
  <c r="AG18" i="107"/>
  <c r="AH18" i="107" s="1"/>
  <c r="AG33" i="108"/>
  <c r="AH33" i="108" s="1"/>
  <c r="AG40" i="108"/>
  <c r="AH40" i="108" s="1"/>
  <c r="AG46" i="108"/>
  <c r="AH46" i="108" s="1"/>
  <c r="E28" i="110"/>
  <c r="H28" i="86"/>
  <c r="M10" i="108"/>
  <c r="O10" i="108" s="1"/>
  <c r="P10" i="108" s="1"/>
  <c r="R10" i="108" s="1"/>
  <c r="AG10" i="99"/>
  <c r="AH10" i="99" s="1"/>
  <c r="AG13" i="99"/>
  <c r="AH13" i="99" s="1"/>
  <c r="M18" i="99"/>
  <c r="O18" i="99" s="1"/>
  <c r="P18" i="99" s="1"/>
  <c r="AG18" i="99"/>
  <c r="AH18" i="99" s="1"/>
  <c r="AC21" i="100"/>
  <c r="AF23" i="101"/>
  <c r="AG22" i="101"/>
  <c r="AH22" i="101" s="1"/>
  <c r="E66" i="102"/>
  <c r="AG15" i="102"/>
  <c r="AH15" i="102" s="1"/>
  <c r="AG24" i="102"/>
  <c r="AH24" i="102" s="1"/>
  <c r="AG26" i="102"/>
  <c r="AH26" i="102" s="1"/>
  <c r="AG39" i="102"/>
  <c r="AH39" i="102" s="1"/>
  <c r="AG18" i="103"/>
  <c r="AH18" i="103" s="1"/>
  <c r="AF28" i="104"/>
  <c r="AG14" i="104"/>
  <c r="AH14" i="104" s="1"/>
  <c r="G21" i="106"/>
  <c r="AG21" i="109"/>
  <c r="AH21" i="109" s="1"/>
  <c r="AG50" i="102"/>
  <c r="AH50" i="102" s="1"/>
  <c r="AG51" i="102"/>
  <c r="AH51" i="102" s="1"/>
  <c r="AG20" i="103"/>
  <c r="AH20" i="103" s="1"/>
  <c r="AG22" i="103"/>
  <c r="AH22" i="103" s="1"/>
  <c r="AG24" i="103"/>
  <c r="AH24" i="103" s="1"/>
  <c r="H28" i="104"/>
  <c r="AG18" i="104"/>
  <c r="AH18" i="104" s="1"/>
  <c r="AG21" i="104"/>
  <c r="AF28" i="105"/>
  <c r="AG19" i="105"/>
  <c r="AH19" i="105" s="1"/>
  <c r="AG20" i="105"/>
  <c r="AH20" i="105" s="1"/>
  <c r="AG21" i="105"/>
  <c r="AH21" i="105" s="1"/>
  <c r="AF21" i="106"/>
  <c r="AG18" i="106"/>
  <c r="AH18" i="106" s="1"/>
  <c r="AG19" i="106"/>
  <c r="AH19" i="106" s="1"/>
  <c r="AG22" i="107"/>
  <c r="AH22" i="107" s="1"/>
  <c r="AG22" i="108"/>
  <c r="AH22" i="108" s="1"/>
  <c r="AG28" i="108"/>
  <c r="AH28" i="108" s="1"/>
  <c r="AG32" i="108"/>
  <c r="AH32" i="108" s="1"/>
  <c r="C65" i="108"/>
  <c r="C67" i="108" s="1"/>
  <c r="AG48" i="108"/>
  <c r="AH48" i="108" s="1"/>
  <c r="AG11" i="109"/>
  <c r="AH11" i="109" s="1"/>
  <c r="AG10" i="110"/>
  <c r="AH10" i="110" s="1"/>
  <c r="AG11" i="110"/>
  <c r="AH11" i="110" s="1"/>
  <c r="AG18" i="110"/>
  <c r="AH18" i="110" s="1"/>
  <c r="AG21" i="103"/>
  <c r="AH21" i="103" s="1"/>
  <c r="AG23" i="103"/>
  <c r="AH23" i="103" s="1"/>
  <c r="AG15" i="104"/>
  <c r="AH15" i="104" s="1"/>
  <c r="AG17" i="105"/>
  <c r="AH17" i="105" s="1"/>
  <c r="AG9" i="106"/>
  <c r="AH9" i="106" s="1"/>
  <c r="AG17" i="106"/>
  <c r="AH17" i="106" s="1"/>
  <c r="AG20" i="106"/>
  <c r="AH20" i="106" s="1"/>
  <c r="AG9" i="107"/>
  <c r="AH9" i="107" s="1"/>
  <c r="AG10" i="107"/>
  <c r="AH10" i="107" s="1"/>
  <c r="AG14" i="108"/>
  <c r="AH14" i="108" s="1"/>
  <c r="AG16" i="108"/>
  <c r="AH16" i="108" s="1"/>
  <c r="AG35" i="108"/>
  <c r="AH35" i="108" s="1"/>
  <c r="AG41" i="108"/>
  <c r="AH41" i="108" s="1"/>
  <c r="AG45" i="108"/>
  <c r="AH45" i="108" s="1"/>
  <c r="AG12" i="109"/>
  <c r="AH12" i="109" s="1"/>
  <c r="AG9" i="110"/>
  <c r="AH9" i="110" s="1"/>
  <c r="C16" i="42"/>
  <c r="B16" i="111"/>
  <c r="D16" i="111"/>
  <c r="D22" i="111" s="1"/>
  <c r="R19" i="80"/>
  <c r="Q19" i="80"/>
  <c r="Q27" i="84"/>
  <c r="O21" i="84"/>
  <c r="P21" i="84" s="1"/>
  <c r="Q12" i="86"/>
  <c r="R12" i="86"/>
  <c r="M9" i="86"/>
  <c r="O16" i="80"/>
  <c r="P16" i="80" s="1"/>
  <c r="O9" i="84"/>
  <c r="P9" i="84" s="1"/>
  <c r="O27" i="86"/>
  <c r="P27" i="86" s="1"/>
  <c r="O11" i="86"/>
  <c r="P11" i="86" s="1"/>
  <c r="R23" i="80"/>
  <c r="Q44" i="84"/>
  <c r="R44" i="84"/>
  <c r="K66" i="84"/>
  <c r="Q34" i="84"/>
  <c r="O48" i="84"/>
  <c r="P48" i="84" s="1"/>
  <c r="Q18" i="86"/>
  <c r="O17" i="80"/>
  <c r="P17" i="80" s="1"/>
  <c r="R10" i="80"/>
  <c r="Q10" i="80"/>
  <c r="R41" i="84"/>
  <c r="Q41" i="84"/>
  <c r="R23" i="86"/>
  <c r="Q23" i="86"/>
  <c r="M24" i="80"/>
  <c r="B14" i="111"/>
  <c r="B14" i="42"/>
  <c r="K16" i="81"/>
  <c r="L16" i="81"/>
  <c r="K13" i="81"/>
  <c r="L13" i="81"/>
  <c r="K14" i="85"/>
  <c r="L14" i="85"/>
  <c r="K10" i="85"/>
  <c r="M10" i="85" s="1"/>
  <c r="L10" i="86"/>
  <c r="L24" i="86"/>
  <c r="M24" i="86" s="1"/>
  <c r="E21" i="81"/>
  <c r="AH26" i="84"/>
  <c r="AH12" i="84"/>
  <c r="F28" i="86"/>
  <c r="O21" i="80"/>
  <c r="P21" i="80" s="1"/>
  <c r="O12" i="80"/>
  <c r="P12" i="80" s="1"/>
  <c r="L17" i="84"/>
  <c r="M17" i="84" s="1"/>
  <c r="F66" i="84"/>
  <c r="L11" i="84"/>
  <c r="L66" i="84" s="1"/>
  <c r="O47" i="84"/>
  <c r="P47" i="84" s="1"/>
  <c r="O45" i="84"/>
  <c r="P45" i="84" s="1"/>
  <c r="Q38" i="84"/>
  <c r="S38" i="84" s="1"/>
  <c r="M14" i="86"/>
  <c r="L16" i="86"/>
  <c r="M16" i="86" s="1"/>
  <c r="AG26" i="80"/>
  <c r="AH26" i="80" s="1"/>
  <c r="F65" i="84"/>
  <c r="L36" i="84"/>
  <c r="M36" i="84" s="1"/>
  <c r="O39" i="84"/>
  <c r="P39" i="84" s="1"/>
  <c r="M20" i="84"/>
  <c r="AG22" i="84"/>
  <c r="AH22" i="84" s="1"/>
  <c r="AH17" i="81"/>
  <c r="M19" i="81"/>
  <c r="M14" i="81"/>
  <c r="M11" i="81"/>
  <c r="M12" i="85"/>
  <c r="M18" i="80"/>
  <c r="AH51" i="84"/>
  <c r="AH47" i="84"/>
  <c r="AH34" i="84"/>
  <c r="F21" i="81"/>
  <c r="M9" i="81"/>
  <c r="E25" i="85"/>
  <c r="F9" i="85"/>
  <c r="M13" i="84"/>
  <c r="O12" i="84"/>
  <c r="P12" i="84" s="1"/>
  <c r="O26" i="80"/>
  <c r="P26" i="80" s="1"/>
  <c r="AG10" i="80"/>
  <c r="Z21" i="81"/>
  <c r="M31" i="84"/>
  <c r="E65" i="84"/>
  <c r="AG18" i="84"/>
  <c r="AH18" i="84" s="1"/>
  <c r="AH24" i="84"/>
  <c r="AH20" i="84"/>
  <c r="AH16" i="84"/>
  <c r="AH10" i="84"/>
  <c r="M21" i="86"/>
  <c r="AG20" i="81"/>
  <c r="AH20" i="81" s="1"/>
  <c r="AC25" i="85"/>
  <c r="L20" i="81"/>
  <c r="M20" i="81" s="1"/>
  <c r="L19" i="86"/>
  <c r="K19" i="86"/>
  <c r="O25" i="86"/>
  <c r="P25" i="86" s="1"/>
  <c r="L23" i="85"/>
  <c r="M23" i="85" s="1"/>
  <c r="O20" i="85"/>
  <c r="P20" i="85" s="1"/>
  <c r="Z52" i="84"/>
  <c r="AG14" i="84"/>
  <c r="AG14" i="81"/>
  <c r="AH14" i="81" s="1"/>
  <c r="L18" i="81"/>
  <c r="M18" i="81" s="1"/>
  <c r="L12" i="81"/>
  <c r="K15" i="85"/>
  <c r="M15" i="85" s="1"/>
  <c r="K11" i="85"/>
  <c r="M11" i="85" s="1"/>
  <c r="P27" i="80"/>
  <c r="AH45" i="84"/>
  <c r="AH32" i="84"/>
  <c r="AH28" i="84"/>
  <c r="Q20" i="103"/>
  <c r="S20" i="103" s="1"/>
  <c r="R15" i="109"/>
  <c r="R10" i="105"/>
  <c r="Q24" i="109"/>
  <c r="R24" i="109"/>
  <c r="O50" i="108"/>
  <c r="P50" i="108" s="1"/>
  <c r="K18" i="85"/>
  <c r="M18" i="85" s="1"/>
  <c r="L19" i="85"/>
  <c r="M19" i="85" s="1"/>
  <c r="R37" i="108"/>
  <c r="Q37" i="108"/>
  <c r="R21" i="108"/>
  <c r="Q14" i="105"/>
  <c r="Q34" i="108"/>
  <c r="R34" i="108"/>
  <c r="O25" i="104"/>
  <c r="P25" i="104" s="1"/>
  <c r="O43" i="102"/>
  <c r="P43" i="102" s="1"/>
  <c r="L10" i="100"/>
  <c r="L17" i="100"/>
  <c r="M17" i="100"/>
  <c r="R19" i="100"/>
  <c r="S19" i="100" s="1"/>
  <c r="Q20" i="109"/>
  <c r="R20" i="109"/>
  <c r="R17" i="106"/>
  <c r="Q17" i="106"/>
  <c r="Q24" i="105"/>
  <c r="R24" i="105"/>
  <c r="Q29" i="108"/>
  <c r="R29" i="108"/>
  <c r="R25" i="110"/>
  <c r="Q25" i="110"/>
  <c r="O14" i="104"/>
  <c r="P14" i="104" s="1"/>
  <c r="O12" i="102"/>
  <c r="R41" i="102"/>
  <c r="Q41" i="102"/>
  <c r="O18" i="109"/>
  <c r="P18" i="109" s="1"/>
  <c r="L21" i="101"/>
  <c r="M21" i="101" s="1"/>
  <c r="AG18" i="81"/>
  <c r="AH18" i="81" s="1"/>
  <c r="B10" i="42"/>
  <c r="L35" i="84"/>
  <c r="M35" i="84" s="1"/>
  <c r="F13" i="42"/>
  <c r="G13" i="42"/>
  <c r="R17" i="102"/>
  <c r="S17" i="102" s="1"/>
  <c r="Q43" i="108"/>
  <c r="R43" i="108"/>
  <c r="Q9" i="107"/>
  <c r="Q24" i="110"/>
  <c r="R24" i="110"/>
  <c r="Q36" i="108"/>
  <c r="R36" i="108"/>
  <c r="O23" i="104"/>
  <c r="P23" i="104" s="1"/>
  <c r="O21" i="103"/>
  <c r="P21" i="103" s="1"/>
  <c r="O50" i="102"/>
  <c r="P50" i="102" s="1"/>
  <c r="O13" i="103"/>
  <c r="P13" i="103" s="1"/>
  <c r="O20" i="100"/>
  <c r="P20" i="100" s="1"/>
  <c r="O18" i="100"/>
  <c r="P18" i="100" s="1"/>
  <c r="O23" i="109"/>
  <c r="P23" i="109" s="1"/>
  <c r="O14" i="110"/>
  <c r="P14" i="110" s="1"/>
  <c r="L27" i="108"/>
  <c r="M27" i="108" s="1"/>
  <c r="O27" i="99"/>
  <c r="P27" i="99" s="1"/>
  <c r="AG25" i="99"/>
  <c r="AH25" i="99" s="1"/>
  <c r="AG14" i="101"/>
  <c r="AH14" i="101" s="1"/>
  <c r="AG15" i="101"/>
  <c r="AH15" i="101" s="1"/>
  <c r="AG21" i="101"/>
  <c r="AH21" i="101" s="1"/>
  <c r="K22" i="102"/>
  <c r="L22" i="102"/>
  <c r="L25" i="102"/>
  <c r="J25" i="102"/>
  <c r="K25" i="102"/>
  <c r="L33" i="102"/>
  <c r="M33" i="102" s="1"/>
  <c r="L17" i="105"/>
  <c r="M17" i="105" s="1"/>
  <c r="L21" i="107"/>
  <c r="M21" i="107" s="1"/>
  <c r="K9" i="108"/>
  <c r="M9" i="108" s="1"/>
  <c r="K11" i="108"/>
  <c r="L11" i="108"/>
  <c r="K15" i="108"/>
  <c r="M15" i="108" s="1"/>
  <c r="L25" i="108"/>
  <c r="J25" i="108"/>
  <c r="K11" i="109"/>
  <c r="L11" i="109"/>
  <c r="M14" i="99"/>
  <c r="AH21" i="99"/>
  <c r="AG24" i="99"/>
  <c r="AH24" i="99" s="1"/>
  <c r="M11" i="100"/>
  <c r="AH9" i="101"/>
  <c r="AG17" i="101"/>
  <c r="AH17" i="101" s="1"/>
  <c r="AG11" i="102"/>
  <c r="F25" i="103"/>
  <c r="M12" i="105"/>
  <c r="M21" i="105"/>
  <c r="M23" i="110"/>
  <c r="AG12" i="99"/>
  <c r="AH12" i="99" s="1"/>
  <c r="AG13" i="102"/>
  <c r="AH13" i="102" s="1"/>
  <c r="L15" i="104"/>
  <c r="K15" i="104"/>
  <c r="L18" i="104"/>
  <c r="M18" i="104" s="1"/>
  <c r="L19" i="105"/>
  <c r="M19" i="105" s="1"/>
  <c r="L19" i="107"/>
  <c r="K19" i="107"/>
  <c r="L24" i="108"/>
  <c r="M24" i="108" s="1"/>
  <c r="O40" i="108"/>
  <c r="P40" i="108" s="1"/>
  <c r="L47" i="108"/>
  <c r="M47" i="108" s="1"/>
  <c r="L17" i="109"/>
  <c r="M17" i="109" s="1"/>
  <c r="K21" i="109"/>
  <c r="M21" i="109" s="1"/>
  <c r="L11" i="110"/>
  <c r="M11" i="110" s="1"/>
  <c r="M13" i="106"/>
  <c r="M14" i="106"/>
  <c r="AG12" i="101"/>
  <c r="L32" i="102"/>
  <c r="J32" i="102"/>
  <c r="L19" i="104"/>
  <c r="K19" i="104"/>
  <c r="K13" i="105"/>
  <c r="L13" i="105"/>
  <c r="L11" i="106"/>
  <c r="O22" i="107"/>
  <c r="P22" i="107" s="1"/>
  <c r="K23" i="108"/>
  <c r="L23" i="108"/>
  <c r="J23" i="108"/>
  <c r="L19" i="109"/>
  <c r="M19" i="109" s="1"/>
  <c r="K20" i="110"/>
  <c r="L20" i="110"/>
  <c r="K66" i="102"/>
  <c r="AF28" i="99"/>
  <c r="AG16" i="99"/>
  <c r="AH16" i="99" s="1"/>
  <c r="AH17" i="99"/>
  <c r="AG10" i="100"/>
  <c r="AG11" i="99"/>
  <c r="AH11" i="99" s="1"/>
  <c r="O38" i="102"/>
  <c r="P38" i="102" s="1"/>
  <c r="L19" i="103"/>
  <c r="L17" i="104"/>
  <c r="M17" i="104" s="1"/>
  <c r="L20" i="106"/>
  <c r="M20" i="106" s="1"/>
  <c r="L15" i="107"/>
  <c r="M15" i="107" s="1"/>
  <c r="K28" i="108"/>
  <c r="O39" i="108"/>
  <c r="P39" i="108" s="1"/>
  <c r="L13" i="110"/>
  <c r="M13" i="110" s="1"/>
  <c r="M16" i="108"/>
  <c r="M30" i="108"/>
  <c r="AG10" i="103"/>
  <c r="AH21" i="104"/>
  <c r="AC21" i="106"/>
  <c r="AG10" i="106"/>
  <c r="F11" i="107"/>
  <c r="AH20" i="108"/>
  <c r="AG39" i="108"/>
  <c r="AH39" i="108" s="1"/>
  <c r="AG49" i="108"/>
  <c r="AH49" i="108" s="1"/>
  <c r="AG22" i="109"/>
  <c r="AH22" i="109" s="1"/>
  <c r="AH14" i="110"/>
  <c r="AG27" i="110"/>
  <c r="AG22" i="104"/>
  <c r="AH22" i="104" s="1"/>
  <c r="AG23" i="104"/>
  <c r="AH23" i="104" s="1"/>
  <c r="M10" i="107"/>
  <c r="L35" i="102"/>
  <c r="M35" i="102" s="1"/>
  <c r="M12" i="103"/>
  <c r="AG13" i="104"/>
  <c r="AH13" i="104" s="1"/>
  <c r="AG17" i="104"/>
  <c r="AH17" i="104" s="1"/>
  <c r="AG20" i="104"/>
  <c r="AH20" i="104" s="1"/>
  <c r="AG27" i="104"/>
  <c r="AH27" i="104" s="1"/>
  <c r="AG12" i="105"/>
  <c r="AG18" i="105"/>
  <c r="AH18" i="105" s="1"/>
  <c r="K10" i="106"/>
  <c r="L14" i="107"/>
  <c r="M14" i="107" s="1"/>
  <c r="AG16" i="107"/>
  <c r="AH16" i="107" s="1"/>
  <c r="AG12" i="108"/>
  <c r="O41" i="108"/>
  <c r="P41" i="108" s="1"/>
  <c r="AG20" i="109"/>
  <c r="AG28" i="86" l="1"/>
  <c r="Q14" i="100"/>
  <c r="M16" i="100"/>
  <c r="O16" i="100" s="1"/>
  <c r="P16" i="100" s="1"/>
  <c r="L66" i="102"/>
  <c r="M18" i="107"/>
  <c r="R16" i="101"/>
  <c r="S16" i="101" s="1"/>
  <c r="M19" i="101"/>
  <c r="Q10" i="110"/>
  <c r="S10" i="110" s="1"/>
  <c r="T10" i="110" s="1"/>
  <c r="M22" i="84"/>
  <c r="O22" i="84" s="1"/>
  <c r="P22" i="84" s="1"/>
  <c r="R22" i="84" s="1"/>
  <c r="M15" i="84"/>
  <c r="O15" i="84" s="1"/>
  <c r="P15" i="84" s="1"/>
  <c r="R15" i="84" s="1"/>
  <c r="K65" i="84"/>
  <c r="M32" i="84"/>
  <c r="R15" i="106"/>
  <c r="S15" i="106" s="1"/>
  <c r="T15" i="106" s="1"/>
  <c r="V15" i="106" s="1"/>
  <c r="P9" i="99"/>
  <c r="M28" i="102"/>
  <c r="O28" i="102" s="1"/>
  <c r="P28" i="102" s="1"/>
  <c r="P16" i="104"/>
  <c r="R16" i="104" s="1"/>
  <c r="M14" i="84"/>
  <c r="O14" i="84" s="1"/>
  <c r="P14" i="84" s="1"/>
  <c r="R14" i="84" s="1"/>
  <c r="Q40" i="102"/>
  <c r="Q13" i="107"/>
  <c r="R14" i="109"/>
  <c r="R13" i="109"/>
  <c r="S13" i="109" s="1"/>
  <c r="T13" i="109" s="1"/>
  <c r="V13" i="109" s="1"/>
  <c r="Q13" i="109"/>
  <c r="K28" i="99"/>
  <c r="M24" i="84"/>
  <c r="O24" i="84" s="1"/>
  <c r="P24" i="84" s="1"/>
  <c r="R24" i="84" s="1"/>
  <c r="AH28" i="86"/>
  <c r="K15" i="111" s="1"/>
  <c r="Q15" i="111" s="1"/>
  <c r="M32" i="108"/>
  <c r="M14" i="103"/>
  <c r="O14" i="103" s="1"/>
  <c r="P14" i="103" s="1"/>
  <c r="Q14" i="103" s="1"/>
  <c r="R16" i="105"/>
  <c r="M25" i="108"/>
  <c r="O25" i="108" s="1"/>
  <c r="P25" i="108" s="1"/>
  <c r="F21" i="100"/>
  <c r="P31" i="108"/>
  <c r="Q31" i="108" s="1"/>
  <c r="M15" i="80"/>
  <c r="O15" i="80" s="1"/>
  <c r="P15" i="80" s="1"/>
  <c r="R15" i="80" s="1"/>
  <c r="Q37" i="102"/>
  <c r="R37" i="102"/>
  <c r="P20" i="105"/>
  <c r="Q20" i="105" s="1"/>
  <c r="P19" i="110"/>
  <c r="F52" i="84"/>
  <c r="R16" i="99"/>
  <c r="S16" i="99" s="1"/>
  <c r="T16" i="99" s="1"/>
  <c r="V16" i="99" s="1"/>
  <c r="J52" i="84"/>
  <c r="M28" i="108"/>
  <c r="Q12" i="110"/>
  <c r="R16" i="107"/>
  <c r="S16" i="107" s="1"/>
  <c r="T16" i="107" s="1"/>
  <c r="V16" i="107" s="1"/>
  <c r="R12" i="104"/>
  <c r="S12" i="104" s="1"/>
  <c r="T12" i="104" s="1"/>
  <c r="V12" i="104" s="1"/>
  <c r="S10" i="80"/>
  <c r="M16" i="84"/>
  <c r="O16" i="84" s="1"/>
  <c r="P16" i="84" s="1"/>
  <c r="R16" i="84" s="1"/>
  <c r="M30" i="102"/>
  <c r="O30" i="102" s="1"/>
  <c r="P30" i="102" s="1"/>
  <c r="R30" i="102" s="1"/>
  <c r="K23" i="101"/>
  <c r="P29" i="84"/>
  <c r="R29" i="84" s="1"/>
  <c r="S19" i="99"/>
  <c r="T19" i="99" s="1"/>
  <c r="V19" i="99" s="1"/>
  <c r="AJ19" i="99" s="1"/>
  <c r="Q26" i="110"/>
  <c r="S12" i="86"/>
  <c r="T12" i="86" s="1"/>
  <c r="V12" i="86" s="1"/>
  <c r="Q24" i="103"/>
  <c r="S24" i="103" s="1"/>
  <c r="M16" i="85"/>
  <c r="O16" i="85" s="1"/>
  <c r="P16" i="85" s="1"/>
  <c r="Q16" i="85" s="1"/>
  <c r="M28" i="84"/>
  <c r="O28" i="84" s="1"/>
  <c r="P28" i="84" s="1"/>
  <c r="R28" i="84" s="1"/>
  <c r="M22" i="109"/>
  <c r="O22" i="109" s="1"/>
  <c r="P22" i="109" s="1"/>
  <c r="R22" i="109" s="1"/>
  <c r="C23" i="174"/>
  <c r="O51" i="102"/>
  <c r="P51" i="102" s="1"/>
  <c r="R12" i="106"/>
  <c r="Q12" i="106"/>
  <c r="S12" i="106" s="1"/>
  <c r="T12" i="106" s="1"/>
  <c r="V12" i="106" s="1"/>
  <c r="W38" i="108"/>
  <c r="AI38" i="108"/>
  <c r="K21" i="106"/>
  <c r="AG21" i="106"/>
  <c r="D10" i="174"/>
  <c r="R18" i="105"/>
  <c r="S18" i="105" s="1"/>
  <c r="T18" i="105" s="1"/>
  <c r="V18" i="105" s="1"/>
  <c r="R45" i="102"/>
  <c r="S45" i="102" s="1"/>
  <c r="T45" i="102" s="1"/>
  <c r="V45" i="102" s="1"/>
  <c r="Q30" i="102"/>
  <c r="L21" i="100"/>
  <c r="R35" i="108"/>
  <c r="S35" i="108" s="1"/>
  <c r="T35" i="108" s="1"/>
  <c r="V35" i="108" s="1"/>
  <c r="M13" i="81"/>
  <c r="O13" i="81" s="1"/>
  <c r="P13" i="81" s="1"/>
  <c r="Q20" i="80"/>
  <c r="S20" i="80" s="1"/>
  <c r="T20" i="80" s="1"/>
  <c r="V20" i="80" s="1"/>
  <c r="M18" i="101"/>
  <c r="O18" i="101" s="1"/>
  <c r="P18" i="101" s="1"/>
  <c r="R18" i="101" s="1"/>
  <c r="L9" i="106"/>
  <c r="M9" i="106" s="1"/>
  <c r="O27" i="105"/>
  <c r="P27" i="105" s="1"/>
  <c r="Q12" i="100"/>
  <c r="R12" i="100"/>
  <c r="R33" i="84"/>
  <c r="S33" i="84" s="1"/>
  <c r="P18" i="106"/>
  <c r="Q18" i="106" s="1"/>
  <c r="J65" i="84"/>
  <c r="J67" i="84" s="1"/>
  <c r="R9" i="105"/>
  <c r="S9" i="105" s="1"/>
  <c r="T9" i="105" s="1"/>
  <c r="V9" i="105" s="1"/>
  <c r="O27" i="104"/>
  <c r="P27" i="104" s="1"/>
  <c r="K21" i="100"/>
  <c r="P27" i="110"/>
  <c r="Q27" i="110" s="1"/>
  <c r="E23" i="101"/>
  <c r="P21" i="102"/>
  <c r="Q21" i="102" s="1"/>
  <c r="M10" i="106"/>
  <c r="O10" i="106" s="1"/>
  <c r="P10" i="106" s="1"/>
  <c r="AG28" i="110"/>
  <c r="AG25" i="103"/>
  <c r="AG21" i="100"/>
  <c r="Q21" i="99"/>
  <c r="S21" i="99" s="1"/>
  <c r="R46" i="102"/>
  <c r="S46" i="102" s="1"/>
  <c r="S14" i="105"/>
  <c r="E52" i="84"/>
  <c r="AG28" i="80"/>
  <c r="S44" i="84"/>
  <c r="T44" i="84" s="1"/>
  <c r="V44" i="84" s="1"/>
  <c r="W44" i="84" s="1"/>
  <c r="Q26" i="84"/>
  <c r="E67" i="102"/>
  <c r="F28" i="99"/>
  <c r="P17" i="107"/>
  <c r="R17" i="107" s="1"/>
  <c r="M15" i="110"/>
  <c r="O15" i="110" s="1"/>
  <c r="P15" i="110" s="1"/>
  <c r="P10" i="101"/>
  <c r="R10" i="101" s="1"/>
  <c r="M19" i="108"/>
  <c r="M22" i="103"/>
  <c r="O22" i="103" s="1"/>
  <c r="P22" i="103" s="1"/>
  <c r="R22" i="103" s="1"/>
  <c r="R49" i="84"/>
  <c r="Q49" i="84"/>
  <c r="R49" i="108"/>
  <c r="Q49" i="108"/>
  <c r="Q13" i="85"/>
  <c r="R13" i="85"/>
  <c r="O13" i="104"/>
  <c r="P13" i="104" s="1"/>
  <c r="R14" i="108"/>
  <c r="Q14" i="108"/>
  <c r="W17" i="110"/>
  <c r="AI17" i="110"/>
  <c r="R22" i="80"/>
  <c r="Q22" i="80"/>
  <c r="M11" i="109"/>
  <c r="M11" i="84"/>
  <c r="O11" i="84" s="1"/>
  <c r="O66" i="84" s="1"/>
  <c r="M12" i="107"/>
  <c r="O12" i="107" s="1"/>
  <c r="P12" i="107" s="1"/>
  <c r="S24" i="105"/>
  <c r="T24" i="105" s="1"/>
  <c r="V24" i="105" s="1"/>
  <c r="S16" i="105"/>
  <c r="T16" i="105" s="1"/>
  <c r="V16" i="105" s="1"/>
  <c r="AG52" i="84"/>
  <c r="M16" i="81"/>
  <c r="O16" i="81" s="1"/>
  <c r="P16" i="81" s="1"/>
  <c r="S19" i="80"/>
  <c r="P13" i="100"/>
  <c r="Q13" i="100" s="1"/>
  <c r="M16" i="106"/>
  <c r="O16" i="106" s="1"/>
  <c r="P16" i="106" s="1"/>
  <c r="M18" i="102"/>
  <c r="O18" i="102" s="1"/>
  <c r="F52" i="108"/>
  <c r="P10" i="103"/>
  <c r="R10" i="103" s="1"/>
  <c r="M10" i="81"/>
  <c r="O10" i="81" s="1"/>
  <c r="P10" i="81" s="1"/>
  <c r="S17" i="101"/>
  <c r="T17" i="101" s="1"/>
  <c r="V17" i="101" s="1"/>
  <c r="M22" i="110"/>
  <c r="O22" i="110" s="1"/>
  <c r="P22" i="110" s="1"/>
  <c r="R10" i="102"/>
  <c r="Q10" i="102"/>
  <c r="K28" i="104"/>
  <c r="L28" i="86"/>
  <c r="T10" i="80"/>
  <c r="V10" i="80" s="1"/>
  <c r="AM10" i="80" s="1"/>
  <c r="P30" i="84"/>
  <c r="Q30" i="84" s="1"/>
  <c r="O26" i="105"/>
  <c r="P26" i="105" s="1"/>
  <c r="O26" i="104"/>
  <c r="P26" i="104" s="1"/>
  <c r="O22" i="105"/>
  <c r="P22" i="105" s="1"/>
  <c r="M19" i="104"/>
  <c r="S40" i="102"/>
  <c r="S36" i="108"/>
  <c r="T36" i="108" s="1"/>
  <c r="V36" i="108" s="1"/>
  <c r="S29" i="108"/>
  <c r="S34" i="108"/>
  <c r="S10" i="105"/>
  <c r="T10" i="105" s="1"/>
  <c r="S15" i="109"/>
  <c r="T15" i="109" s="1"/>
  <c r="V15" i="109" s="1"/>
  <c r="AI15" i="109" s="1"/>
  <c r="S41" i="84"/>
  <c r="E10" i="174"/>
  <c r="M16" i="109"/>
  <c r="O16" i="109" s="1"/>
  <c r="P16" i="109" s="1"/>
  <c r="Q16" i="109" s="1"/>
  <c r="S21" i="110"/>
  <c r="S23" i="80"/>
  <c r="T23" i="80" s="1"/>
  <c r="V23" i="80" s="1"/>
  <c r="M24" i="102"/>
  <c r="O24" i="102" s="1"/>
  <c r="P24" i="102" s="1"/>
  <c r="R24" i="102" s="1"/>
  <c r="M25" i="99"/>
  <c r="O25" i="99" s="1"/>
  <c r="P25" i="99" s="1"/>
  <c r="M12" i="101"/>
  <c r="O12" i="101" s="1"/>
  <c r="P12" i="101" s="1"/>
  <c r="Q12" i="101" s="1"/>
  <c r="Q12" i="109"/>
  <c r="R12" i="109"/>
  <c r="R46" i="108"/>
  <c r="Q46" i="108"/>
  <c r="R10" i="104"/>
  <c r="Q10" i="104"/>
  <c r="S10" i="104" s="1"/>
  <c r="T10" i="104" s="1"/>
  <c r="V10" i="104" s="1"/>
  <c r="Q20" i="101"/>
  <c r="R20" i="101"/>
  <c r="R13" i="99"/>
  <c r="Q13" i="99"/>
  <c r="S13" i="99" s="1"/>
  <c r="R22" i="85"/>
  <c r="Q22" i="85"/>
  <c r="O20" i="104"/>
  <c r="P20" i="104" s="1"/>
  <c r="R39" i="102"/>
  <c r="Q39" i="102"/>
  <c r="Q15" i="81"/>
  <c r="R15" i="81"/>
  <c r="W19" i="99"/>
  <c r="O15" i="105"/>
  <c r="P15" i="105" s="1"/>
  <c r="R26" i="102"/>
  <c r="Q26" i="102"/>
  <c r="AI18" i="110"/>
  <c r="AK18" i="110"/>
  <c r="AL18" i="110" s="1"/>
  <c r="W18" i="110"/>
  <c r="Q14" i="80"/>
  <c r="R14" i="80"/>
  <c r="S14" i="80" s="1"/>
  <c r="AH25" i="85"/>
  <c r="K14" i="42" s="1"/>
  <c r="N14" i="42" s="1"/>
  <c r="R49" i="102"/>
  <c r="Q49" i="102"/>
  <c r="R22" i="108"/>
  <c r="Q22" i="108"/>
  <c r="O37" i="84"/>
  <c r="P37" i="84" s="1"/>
  <c r="AH10" i="106"/>
  <c r="AH21" i="106" s="1"/>
  <c r="M23" i="108"/>
  <c r="O23" i="108" s="1"/>
  <c r="P23" i="108" s="1"/>
  <c r="AH10" i="100"/>
  <c r="AH21" i="100" s="1"/>
  <c r="S14" i="109"/>
  <c r="T14" i="109" s="1"/>
  <c r="V14" i="109" s="1"/>
  <c r="W14" i="109" s="1"/>
  <c r="L9" i="109"/>
  <c r="K9" i="109"/>
  <c r="K25" i="109" s="1"/>
  <c r="O9" i="101"/>
  <c r="P9" i="101" s="1"/>
  <c r="R22" i="101"/>
  <c r="Q22" i="101"/>
  <c r="O23" i="103"/>
  <c r="P23" i="103" s="1"/>
  <c r="O15" i="86"/>
  <c r="P15" i="86" s="1"/>
  <c r="O15" i="102"/>
  <c r="P15" i="102" s="1"/>
  <c r="R34" i="102"/>
  <c r="Q34" i="102"/>
  <c r="O19" i="106"/>
  <c r="P19" i="106" s="1"/>
  <c r="Q48" i="102"/>
  <c r="R48" i="102"/>
  <c r="O9" i="100"/>
  <c r="P9" i="100" s="1"/>
  <c r="R11" i="99"/>
  <c r="Q11" i="99"/>
  <c r="O27" i="102"/>
  <c r="P27" i="102" s="1"/>
  <c r="L13" i="102"/>
  <c r="M13" i="102" s="1"/>
  <c r="F65" i="102"/>
  <c r="F67" i="102" s="1"/>
  <c r="O17" i="86"/>
  <c r="P17" i="86" s="1"/>
  <c r="O17" i="81"/>
  <c r="P17" i="81" s="1"/>
  <c r="F52" i="102"/>
  <c r="AG25" i="85"/>
  <c r="AG28" i="99"/>
  <c r="K28" i="110"/>
  <c r="L28" i="105"/>
  <c r="M32" i="102"/>
  <c r="O32" i="102" s="1"/>
  <c r="P32" i="102" s="1"/>
  <c r="P17" i="108"/>
  <c r="Q17" i="108" s="1"/>
  <c r="M15" i="104"/>
  <c r="O15" i="104" s="1"/>
  <c r="P15" i="104" s="1"/>
  <c r="Q10" i="108"/>
  <c r="S10" i="108" s="1"/>
  <c r="S24" i="110"/>
  <c r="R13" i="101"/>
  <c r="B16" i="42"/>
  <c r="S41" i="102"/>
  <c r="S25" i="110"/>
  <c r="T25" i="110" s="1"/>
  <c r="V25" i="110" s="1"/>
  <c r="W25" i="110" s="1"/>
  <c r="S20" i="109"/>
  <c r="T20" i="109" s="1"/>
  <c r="V20" i="109" s="1"/>
  <c r="S21" i="108"/>
  <c r="R23" i="102"/>
  <c r="S23" i="102" s="1"/>
  <c r="AK38" i="108"/>
  <c r="AL38" i="108" s="1"/>
  <c r="S24" i="109"/>
  <c r="T24" i="109" s="1"/>
  <c r="V24" i="109" s="1"/>
  <c r="T38" i="84"/>
  <c r="V38" i="84" s="1"/>
  <c r="AK38" i="84" s="1"/>
  <c r="AL38" i="84" s="1"/>
  <c r="E67" i="84"/>
  <c r="W17" i="101"/>
  <c r="L28" i="80"/>
  <c r="S34" i="84"/>
  <c r="T34" i="84" s="1"/>
  <c r="V34" i="84" s="1"/>
  <c r="R23" i="105"/>
  <c r="Q23" i="105"/>
  <c r="M18" i="103"/>
  <c r="K9" i="103"/>
  <c r="L9" i="103"/>
  <c r="L25" i="103" s="1"/>
  <c r="R20" i="105"/>
  <c r="R16" i="102"/>
  <c r="Q16" i="102"/>
  <c r="S33" i="108"/>
  <c r="T33" i="108" s="1"/>
  <c r="V33" i="108" s="1"/>
  <c r="O26" i="86"/>
  <c r="P26" i="86" s="1"/>
  <c r="L18" i="108"/>
  <c r="M18" i="108" s="1"/>
  <c r="F66" i="108"/>
  <c r="F67" i="108" s="1"/>
  <c r="M25" i="105"/>
  <c r="O36" i="102"/>
  <c r="P36" i="102" s="1"/>
  <c r="F64" i="84"/>
  <c r="F67" i="84" s="1"/>
  <c r="L10" i="84"/>
  <c r="L64" i="84" s="1"/>
  <c r="K10" i="84"/>
  <c r="K28" i="80"/>
  <c r="M9" i="102"/>
  <c r="L64" i="102"/>
  <c r="S9" i="104"/>
  <c r="T9" i="104" s="1"/>
  <c r="M25" i="80"/>
  <c r="AH28" i="99"/>
  <c r="T40" i="102"/>
  <c r="V40" i="102" s="1"/>
  <c r="W40" i="102" s="1"/>
  <c r="T19" i="80"/>
  <c r="V19" i="80" s="1"/>
  <c r="AJ19" i="80" s="1"/>
  <c r="O9" i="110"/>
  <c r="P9" i="110" s="1"/>
  <c r="O48" i="108"/>
  <c r="P48" i="108" s="1"/>
  <c r="R17" i="99"/>
  <c r="Q17" i="99"/>
  <c r="R11" i="105"/>
  <c r="Q11" i="105"/>
  <c r="O31" i="102"/>
  <c r="P31" i="102" s="1"/>
  <c r="R20" i="99"/>
  <c r="Q20" i="99"/>
  <c r="Q9" i="99"/>
  <c r="R9" i="99"/>
  <c r="O10" i="109"/>
  <c r="P10" i="109" s="1"/>
  <c r="E67" i="108"/>
  <c r="L12" i="108"/>
  <c r="L64" i="108" s="1"/>
  <c r="M12" i="108"/>
  <c r="O12" i="108" s="1"/>
  <c r="P12" i="108" s="1"/>
  <c r="Q24" i="99"/>
  <c r="R24" i="99"/>
  <c r="R26" i="108"/>
  <c r="Q26" i="108"/>
  <c r="S26" i="108" s="1"/>
  <c r="T26" i="108" s="1"/>
  <c r="V26" i="108" s="1"/>
  <c r="O29" i="102"/>
  <c r="P29" i="102" s="1"/>
  <c r="O45" i="108"/>
  <c r="P45" i="108" s="1"/>
  <c r="Q19" i="110"/>
  <c r="R19" i="110"/>
  <c r="B13" i="111"/>
  <c r="B13" i="42"/>
  <c r="AG28" i="105"/>
  <c r="AG23" i="101"/>
  <c r="T21" i="99"/>
  <c r="V21" i="99" s="1"/>
  <c r="AK21" i="99" s="1"/>
  <c r="O11" i="102"/>
  <c r="P11" i="102" s="1"/>
  <c r="Q11" i="102" s="1"/>
  <c r="T24" i="103"/>
  <c r="V24" i="103" s="1"/>
  <c r="AK24" i="103" s="1"/>
  <c r="AK17" i="110"/>
  <c r="AL17" i="110" s="1"/>
  <c r="L21" i="81"/>
  <c r="M12" i="81"/>
  <c r="Q24" i="85"/>
  <c r="M10" i="86"/>
  <c r="K21" i="81"/>
  <c r="S18" i="86"/>
  <c r="T18" i="86" s="1"/>
  <c r="V18" i="86" s="1"/>
  <c r="S27" i="84"/>
  <c r="T27" i="84" s="1"/>
  <c r="V27" i="84" s="1"/>
  <c r="O18" i="107"/>
  <c r="P18" i="107" s="1"/>
  <c r="R31" i="108"/>
  <c r="Q16" i="104"/>
  <c r="T21" i="110"/>
  <c r="V21" i="110" s="1"/>
  <c r="O32" i="84"/>
  <c r="P32" i="84" s="1"/>
  <c r="Q21" i="104"/>
  <c r="R21" i="104"/>
  <c r="Q51" i="108"/>
  <c r="R51" i="108"/>
  <c r="K20" i="108"/>
  <c r="K65" i="108" s="1"/>
  <c r="L20" i="108"/>
  <c r="L65" i="108" s="1"/>
  <c r="M15" i="99"/>
  <c r="M28" i="99" s="1"/>
  <c r="O23" i="99"/>
  <c r="P23" i="99" s="1"/>
  <c r="L28" i="99"/>
  <c r="S11" i="104"/>
  <c r="T11" i="104" s="1"/>
  <c r="V11" i="104" s="1"/>
  <c r="L15" i="101"/>
  <c r="L23" i="101" s="1"/>
  <c r="O11" i="101"/>
  <c r="P11" i="101" s="1"/>
  <c r="O13" i="108"/>
  <c r="P13" i="108" s="1"/>
  <c r="L51" i="84"/>
  <c r="M51" i="84" s="1"/>
  <c r="F28" i="80"/>
  <c r="M13" i="80"/>
  <c r="O13" i="80" s="1"/>
  <c r="P13" i="80" s="1"/>
  <c r="R13" i="80" s="1"/>
  <c r="R41" i="108"/>
  <c r="Q41" i="108"/>
  <c r="O44" i="102"/>
  <c r="P44" i="102" s="1"/>
  <c r="O13" i="110"/>
  <c r="P13" i="110" s="1"/>
  <c r="O11" i="110"/>
  <c r="P11" i="110" s="1"/>
  <c r="O47" i="108"/>
  <c r="P47" i="108" s="1"/>
  <c r="Q14" i="110"/>
  <c r="R14" i="110"/>
  <c r="Q25" i="99"/>
  <c r="R25" i="99"/>
  <c r="Q21" i="103"/>
  <c r="R21" i="103"/>
  <c r="O18" i="85"/>
  <c r="P18" i="85" s="1"/>
  <c r="O15" i="85"/>
  <c r="P15" i="85" s="1"/>
  <c r="O23" i="85"/>
  <c r="P23" i="85" s="1"/>
  <c r="Q39" i="84"/>
  <c r="R39" i="84"/>
  <c r="R23" i="84"/>
  <c r="Q23" i="84"/>
  <c r="R21" i="80"/>
  <c r="Q21" i="80"/>
  <c r="W19" i="80"/>
  <c r="O14" i="107"/>
  <c r="P14" i="107" s="1"/>
  <c r="O35" i="102"/>
  <c r="P35" i="102" s="1"/>
  <c r="O17" i="109"/>
  <c r="P17" i="109" s="1"/>
  <c r="O24" i="108"/>
  <c r="P24" i="108" s="1"/>
  <c r="R14" i="101"/>
  <c r="Q14" i="101"/>
  <c r="R14" i="103"/>
  <c r="O19" i="85"/>
  <c r="P19" i="85" s="1"/>
  <c r="O11" i="85"/>
  <c r="P11" i="85" s="1"/>
  <c r="R20" i="85"/>
  <c r="Q20" i="85"/>
  <c r="R26" i="80"/>
  <c r="Q26" i="80"/>
  <c r="Q46" i="84"/>
  <c r="R46" i="84"/>
  <c r="R21" i="85"/>
  <c r="Q21" i="85"/>
  <c r="Q45" i="84"/>
  <c r="R45" i="84"/>
  <c r="Q12" i="80"/>
  <c r="R12" i="80"/>
  <c r="Q24" i="84"/>
  <c r="Q21" i="84"/>
  <c r="R21" i="84"/>
  <c r="Q26" i="99"/>
  <c r="R26" i="99"/>
  <c r="O19" i="104"/>
  <c r="P19" i="104" s="1"/>
  <c r="O33" i="102"/>
  <c r="P33" i="102" s="1"/>
  <c r="R50" i="102"/>
  <c r="Q50" i="102"/>
  <c r="Q23" i="104"/>
  <c r="R23" i="104"/>
  <c r="O35" i="84"/>
  <c r="P35" i="84" s="1"/>
  <c r="R18" i="109"/>
  <c r="Q18" i="109"/>
  <c r="R17" i="103"/>
  <c r="Q17" i="103"/>
  <c r="Q25" i="104"/>
  <c r="R25" i="104"/>
  <c r="R22" i="104"/>
  <c r="Q22" i="104"/>
  <c r="AI14" i="109"/>
  <c r="Q12" i="84"/>
  <c r="R12" i="84"/>
  <c r="R47" i="84"/>
  <c r="Q47" i="84"/>
  <c r="O17" i="84"/>
  <c r="P17" i="84" s="1"/>
  <c r="R11" i="86"/>
  <c r="Q11" i="86"/>
  <c r="Q22" i="84"/>
  <c r="R43" i="84"/>
  <c r="Q43" i="84"/>
  <c r="AH28" i="104"/>
  <c r="Q22" i="107"/>
  <c r="R22" i="107"/>
  <c r="O17" i="105"/>
  <c r="P17" i="105" s="1"/>
  <c r="R16" i="100"/>
  <c r="Q16" i="100"/>
  <c r="O27" i="108"/>
  <c r="P27" i="108" s="1"/>
  <c r="R10" i="99"/>
  <c r="Q10" i="99"/>
  <c r="R12" i="99"/>
  <c r="Q12" i="99"/>
  <c r="Q20" i="102"/>
  <c r="R20" i="102"/>
  <c r="R15" i="103"/>
  <c r="Q15" i="103"/>
  <c r="Q47" i="102"/>
  <c r="R47" i="102"/>
  <c r="R11" i="80"/>
  <c r="Q11" i="80"/>
  <c r="O36" i="84"/>
  <c r="P36" i="84" s="1"/>
  <c r="Q28" i="84"/>
  <c r="Q50" i="84"/>
  <c r="R50" i="84"/>
  <c r="T29" i="108"/>
  <c r="V29" i="108" s="1"/>
  <c r="O12" i="103"/>
  <c r="P12" i="103" s="1"/>
  <c r="O18" i="108"/>
  <c r="P18" i="108" s="1"/>
  <c r="O32" i="108"/>
  <c r="P32" i="108" s="1"/>
  <c r="Q40" i="108"/>
  <c r="R40" i="108"/>
  <c r="O18" i="104"/>
  <c r="O23" i="110"/>
  <c r="P23" i="110" s="1"/>
  <c r="O14" i="99"/>
  <c r="K66" i="108"/>
  <c r="M11" i="108"/>
  <c r="K64" i="108"/>
  <c r="K52" i="108"/>
  <c r="S26" i="110"/>
  <c r="T26" i="110" s="1"/>
  <c r="V26" i="110" s="1"/>
  <c r="S14" i="100"/>
  <c r="T14" i="100" s="1"/>
  <c r="V14" i="100" s="1"/>
  <c r="Q27" i="80"/>
  <c r="R27" i="80"/>
  <c r="O31" i="84"/>
  <c r="P31" i="84" s="1"/>
  <c r="O16" i="86"/>
  <c r="P16" i="86" s="1"/>
  <c r="O9" i="81"/>
  <c r="P9" i="81" s="1"/>
  <c r="O12" i="85"/>
  <c r="P12" i="85" s="1"/>
  <c r="O24" i="80"/>
  <c r="P24" i="80" s="1"/>
  <c r="M11" i="106"/>
  <c r="AG23" i="107"/>
  <c r="T17" i="102"/>
  <c r="V17" i="102" s="1"/>
  <c r="T41" i="102"/>
  <c r="V41" i="102" s="1"/>
  <c r="T19" i="100"/>
  <c r="V19" i="100" s="1"/>
  <c r="M10" i="100"/>
  <c r="T34" i="108"/>
  <c r="V34" i="108" s="1"/>
  <c r="T21" i="108"/>
  <c r="V21" i="108" s="1"/>
  <c r="M19" i="86"/>
  <c r="M28" i="86" s="1"/>
  <c r="O10" i="107"/>
  <c r="P10" i="107" s="1"/>
  <c r="O30" i="108"/>
  <c r="P30" i="108" s="1"/>
  <c r="K28" i="105"/>
  <c r="M13" i="105"/>
  <c r="M28" i="105" s="1"/>
  <c r="K23" i="107"/>
  <c r="M19" i="107"/>
  <c r="L66" i="108"/>
  <c r="O9" i="108"/>
  <c r="P9" i="108" s="1"/>
  <c r="Q23" i="109"/>
  <c r="R23" i="109"/>
  <c r="Q20" i="100"/>
  <c r="R20" i="100"/>
  <c r="Q20" i="107"/>
  <c r="R20" i="107"/>
  <c r="R11" i="103"/>
  <c r="Q11" i="103"/>
  <c r="O13" i="84"/>
  <c r="P13" i="84" s="1"/>
  <c r="O18" i="80"/>
  <c r="P18" i="80" s="1"/>
  <c r="O19" i="81"/>
  <c r="P19" i="81" s="1"/>
  <c r="Q13" i="86"/>
  <c r="R13" i="86"/>
  <c r="Q48" i="84"/>
  <c r="R48" i="84"/>
  <c r="Q19" i="84"/>
  <c r="R19" i="84"/>
  <c r="O9" i="86"/>
  <c r="P9" i="86" s="1"/>
  <c r="Q22" i="86"/>
  <c r="R22" i="86"/>
  <c r="AG25" i="109"/>
  <c r="AG52" i="108"/>
  <c r="AG28" i="104"/>
  <c r="M19" i="103"/>
  <c r="AH12" i="105"/>
  <c r="AH28" i="105" s="1"/>
  <c r="M20" i="110"/>
  <c r="L28" i="110"/>
  <c r="L28" i="104"/>
  <c r="AH27" i="110"/>
  <c r="AH28" i="110" s="1"/>
  <c r="AH12" i="108"/>
  <c r="AH52" i="108" s="1"/>
  <c r="AH23" i="107"/>
  <c r="T24" i="110"/>
  <c r="V24" i="110" s="1"/>
  <c r="W24" i="110" s="1"/>
  <c r="P12" i="102"/>
  <c r="S13" i="107"/>
  <c r="T13" i="107" s="1"/>
  <c r="V13" i="107" s="1"/>
  <c r="T14" i="105"/>
  <c r="V14" i="105" s="1"/>
  <c r="T20" i="103"/>
  <c r="V20" i="103" s="1"/>
  <c r="M14" i="85"/>
  <c r="S23" i="86"/>
  <c r="T23" i="86" s="1"/>
  <c r="V23" i="86" s="1"/>
  <c r="AH10" i="80"/>
  <c r="AH28" i="80" s="1"/>
  <c r="T41" i="84"/>
  <c r="V41" i="84" s="1"/>
  <c r="K28" i="86"/>
  <c r="S26" i="84"/>
  <c r="T26" i="84" s="1"/>
  <c r="V26" i="84" s="1"/>
  <c r="L65" i="84"/>
  <c r="O28" i="108"/>
  <c r="P28" i="108" s="1"/>
  <c r="O20" i="106"/>
  <c r="P20" i="106" s="1"/>
  <c r="J52" i="108"/>
  <c r="J65" i="108"/>
  <c r="J67" i="108" s="1"/>
  <c r="O13" i="106"/>
  <c r="P13" i="106" s="1"/>
  <c r="O21" i="109"/>
  <c r="P21" i="109" s="1"/>
  <c r="O19" i="105"/>
  <c r="P19" i="105" s="1"/>
  <c r="O12" i="105"/>
  <c r="AH11" i="102"/>
  <c r="AH52" i="102" s="1"/>
  <c r="AG52" i="102"/>
  <c r="O11" i="109"/>
  <c r="P11" i="109" s="1"/>
  <c r="O15" i="108"/>
  <c r="P15" i="108" s="1"/>
  <c r="O21" i="107"/>
  <c r="P21" i="107" s="1"/>
  <c r="M25" i="102"/>
  <c r="J65" i="102"/>
  <c r="J67" i="102" s="1"/>
  <c r="J52" i="102"/>
  <c r="Q16" i="110"/>
  <c r="R16" i="110"/>
  <c r="Q18" i="100"/>
  <c r="R18" i="100"/>
  <c r="R13" i="103"/>
  <c r="Q13" i="103"/>
  <c r="R28" i="102"/>
  <c r="Q28" i="102"/>
  <c r="Q14" i="104"/>
  <c r="R14" i="104"/>
  <c r="O17" i="100"/>
  <c r="P17" i="100" s="1"/>
  <c r="Q43" i="102"/>
  <c r="R43" i="102"/>
  <c r="R16" i="103"/>
  <c r="Q16" i="103"/>
  <c r="R18" i="99"/>
  <c r="Q18" i="99"/>
  <c r="R16" i="109"/>
  <c r="Q10" i="103"/>
  <c r="Q25" i="86"/>
  <c r="R25" i="86"/>
  <c r="O20" i="81"/>
  <c r="P20" i="81" s="1"/>
  <c r="O18" i="81"/>
  <c r="P18" i="81" s="1"/>
  <c r="K9" i="85"/>
  <c r="K25" i="85" s="1"/>
  <c r="F25" i="85"/>
  <c r="L9" i="85"/>
  <c r="L25" i="85" s="1"/>
  <c r="O14" i="81"/>
  <c r="P14" i="81" s="1"/>
  <c r="O20" i="84"/>
  <c r="P20" i="84" s="1"/>
  <c r="R17" i="80"/>
  <c r="Q17" i="80"/>
  <c r="Q17" i="85"/>
  <c r="R17" i="85"/>
  <c r="M66" i="84"/>
  <c r="AI44" i="84"/>
  <c r="Q20" i="86"/>
  <c r="R20" i="86"/>
  <c r="R40" i="84"/>
  <c r="Q40" i="84"/>
  <c r="R27" i="86"/>
  <c r="Q27" i="86"/>
  <c r="R25" i="84"/>
  <c r="Q25" i="84"/>
  <c r="T16" i="101"/>
  <c r="V16" i="101" s="1"/>
  <c r="AH21" i="81"/>
  <c r="AG21" i="81"/>
  <c r="F23" i="107"/>
  <c r="L11" i="107"/>
  <c r="L23" i="107" s="1"/>
  <c r="O16" i="108"/>
  <c r="P16" i="108" s="1"/>
  <c r="Q39" i="108"/>
  <c r="R39" i="108"/>
  <c r="O15" i="107"/>
  <c r="P15" i="107" s="1"/>
  <c r="O17" i="104"/>
  <c r="P17" i="104" s="1"/>
  <c r="Q38" i="102"/>
  <c r="R38" i="102"/>
  <c r="O19" i="102"/>
  <c r="P19" i="102" s="1"/>
  <c r="O19" i="109"/>
  <c r="P19" i="109" s="1"/>
  <c r="O14" i="106"/>
  <c r="P14" i="106" s="1"/>
  <c r="O21" i="105"/>
  <c r="P21" i="105" s="1"/>
  <c r="O11" i="100"/>
  <c r="P11" i="100" s="1"/>
  <c r="K65" i="102"/>
  <c r="K67" i="102" s="1"/>
  <c r="K52" i="102"/>
  <c r="M22" i="102"/>
  <c r="O19" i="101"/>
  <c r="R27" i="99"/>
  <c r="Q27" i="99"/>
  <c r="O21" i="101"/>
  <c r="P21" i="101" s="1"/>
  <c r="R15" i="100"/>
  <c r="Q15" i="100"/>
  <c r="Q44" i="108"/>
  <c r="R44" i="108"/>
  <c r="R50" i="108"/>
  <c r="Q50" i="108"/>
  <c r="R22" i="99"/>
  <c r="Q22" i="99"/>
  <c r="Q14" i="102"/>
  <c r="R14" i="102"/>
  <c r="W38" i="84"/>
  <c r="V9" i="104"/>
  <c r="O21" i="86"/>
  <c r="P21" i="86" s="1"/>
  <c r="O12" i="81"/>
  <c r="P12" i="81" s="1"/>
  <c r="O11" i="81"/>
  <c r="P11" i="81" s="1"/>
  <c r="O14" i="86"/>
  <c r="P14" i="86" s="1"/>
  <c r="O24" i="86"/>
  <c r="P24" i="86" s="1"/>
  <c r="O10" i="85"/>
  <c r="P10" i="85" s="1"/>
  <c r="R9" i="80"/>
  <c r="Q9" i="80"/>
  <c r="K15" i="42"/>
  <c r="N15" i="42" s="1"/>
  <c r="R9" i="84"/>
  <c r="Q9" i="84"/>
  <c r="Q18" i="84"/>
  <c r="R18" i="84"/>
  <c r="Q16" i="80"/>
  <c r="R16" i="80"/>
  <c r="R30" i="84"/>
  <c r="AH10" i="103"/>
  <c r="AH25" i="103" s="1"/>
  <c r="AH12" i="101"/>
  <c r="AH23" i="101" s="1"/>
  <c r="AH20" i="109"/>
  <c r="AH25" i="109" s="1"/>
  <c r="S9" i="107"/>
  <c r="T9" i="107" s="1"/>
  <c r="S43" i="108"/>
  <c r="T43" i="108" s="1"/>
  <c r="V43" i="108" s="1"/>
  <c r="S17" i="106"/>
  <c r="T17" i="106" s="1"/>
  <c r="V17" i="106" s="1"/>
  <c r="S37" i="108"/>
  <c r="T37" i="108" s="1"/>
  <c r="V37" i="108" s="1"/>
  <c r="AH14" i="84"/>
  <c r="AH52" i="84" s="1"/>
  <c r="S24" i="85"/>
  <c r="T24" i="85" s="1"/>
  <c r="V24" i="85" s="1"/>
  <c r="E23" i="174" l="1"/>
  <c r="D23" i="174"/>
  <c r="Q10" i="101"/>
  <c r="T33" i="84"/>
  <c r="V33" i="84" s="1"/>
  <c r="R21" i="102"/>
  <c r="S49" i="84"/>
  <c r="T49" i="84" s="1"/>
  <c r="V49" i="84" s="1"/>
  <c r="R12" i="101"/>
  <c r="S48" i="102"/>
  <c r="T48" i="102" s="1"/>
  <c r="V48" i="102" s="1"/>
  <c r="M66" i="102"/>
  <c r="AK18" i="105"/>
  <c r="AN18" i="105" s="1"/>
  <c r="W18" i="105"/>
  <c r="AJ18" i="105"/>
  <c r="Q15" i="84"/>
  <c r="Q24" i="102"/>
  <c r="Q15" i="80"/>
  <c r="R16" i="85"/>
  <c r="AM19" i="99"/>
  <c r="AK19" i="99"/>
  <c r="AI38" i="84"/>
  <c r="Q14" i="84"/>
  <c r="M28" i="104"/>
  <c r="AI19" i="99"/>
  <c r="Q29" i="84"/>
  <c r="S29" i="84" s="1"/>
  <c r="R13" i="100"/>
  <c r="Q16" i="84"/>
  <c r="S16" i="84" s="1"/>
  <c r="S28" i="102"/>
  <c r="T28" i="102" s="1"/>
  <c r="V28" i="102" s="1"/>
  <c r="AI28" i="102" s="1"/>
  <c r="M28" i="110"/>
  <c r="S20" i="107"/>
  <c r="T20" i="107" s="1"/>
  <c r="V20" i="107" s="1"/>
  <c r="S37" i="102"/>
  <c r="Q51" i="102"/>
  <c r="R51" i="102"/>
  <c r="R13" i="104"/>
  <c r="Q13" i="104"/>
  <c r="S13" i="104" s="1"/>
  <c r="T13" i="104" s="1"/>
  <c r="V13" i="104" s="1"/>
  <c r="AI12" i="86"/>
  <c r="AK12" i="86"/>
  <c r="AL12" i="86" s="1"/>
  <c r="W12" i="86"/>
  <c r="M11" i="107"/>
  <c r="O11" i="107" s="1"/>
  <c r="AK44" i="84"/>
  <c r="AL44" i="84" s="1"/>
  <c r="S14" i="84"/>
  <c r="S17" i="80"/>
  <c r="T17" i="80" s="1"/>
  <c r="V17" i="80" s="1"/>
  <c r="S13" i="103"/>
  <c r="T13" i="103" s="1"/>
  <c r="V13" i="103" s="1"/>
  <c r="T46" i="102"/>
  <c r="V46" i="102" s="1"/>
  <c r="AK46" i="102" s="1"/>
  <c r="AL46" i="102" s="1"/>
  <c r="S20" i="100"/>
  <c r="Q22" i="109"/>
  <c r="AI10" i="80"/>
  <c r="AM21" i="99"/>
  <c r="S9" i="80"/>
  <c r="S13" i="86"/>
  <c r="W21" i="99"/>
  <c r="S15" i="103"/>
  <c r="T15" i="103" s="1"/>
  <c r="V15" i="103" s="1"/>
  <c r="S26" i="99"/>
  <c r="AK19" i="80"/>
  <c r="S49" i="108"/>
  <c r="T49" i="108" s="1"/>
  <c r="V49" i="108" s="1"/>
  <c r="W16" i="107"/>
  <c r="AK16" i="107"/>
  <c r="AL16" i="107" s="1"/>
  <c r="AI16" i="107"/>
  <c r="AK16" i="99"/>
  <c r="AJ16" i="99"/>
  <c r="W16" i="99"/>
  <c r="M28" i="80"/>
  <c r="Q13" i="80"/>
  <c r="S16" i="80"/>
  <c r="S14" i="102"/>
  <c r="S50" i="108"/>
  <c r="T50" i="108" s="1"/>
  <c r="V50" i="108" s="1"/>
  <c r="AJ10" i="80"/>
  <c r="S11" i="103"/>
  <c r="T11" i="103" s="1"/>
  <c r="V11" i="103" s="1"/>
  <c r="S11" i="80"/>
  <c r="T11" i="80" s="1"/>
  <c r="V11" i="80" s="1"/>
  <c r="S12" i="99"/>
  <c r="T12" i="99" s="1"/>
  <c r="V12" i="99" s="1"/>
  <c r="S14" i="110"/>
  <c r="R18" i="106"/>
  <c r="M21" i="81"/>
  <c r="S19" i="110"/>
  <c r="T19" i="110" s="1"/>
  <c r="V19" i="110" s="1"/>
  <c r="W19" i="110" s="1"/>
  <c r="T37" i="102"/>
  <c r="V37" i="102" s="1"/>
  <c r="S34" i="102"/>
  <c r="T34" i="102" s="1"/>
  <c r="V34" i="102" s="1"/>
  <c r="S21" i="102"/>
  <c r="T21" i="102" s="1"/>
  <c r="V21" i="102" s="1"/>
  <c r="AK10" i="80"/>
  <c r="M65" i="84"/>
  <c r="S30" i="102"/>
  <c r="T30" i="102" s="1"/>
  <c r="V30" i="102" s="1"/>
  <c r="AK30" i="102" s="1"/>
  <c r="AL30" i="102" s="1"/>
  <c r="AM30" i="102" s="1"/>
  <c r="S23" i="109"/>
  <c r="T23" i="109" s="1"/>
  <c r="V23" i="109" s="1"/>
  <c r="R11" i="102"/>
  <c r="S11" i="102" s="1"/>
  <c r="T11" i="102" s="1"/>
  <c r="S16" i="100"/>
  <c r="T16" i="100" s="1"/>
  <c r="V16" i="100" s="1"/>
  <c r="S16" i="102"/>
  <c r="T16" i="102" s="1"/>
  <c r="V16" i="102" s="1"/>
  <c r="AK16" i="102" s="1"/>
  <c r="Q17" i="107"/>
  <c r="S17" i="107" s="1"/>
  <c r="T17" i="107" s="1"/>
  <c r="V17" i="107" s="1"/>
  <c r="M9" i="109"/>
  <c r="L21" i="106"/>
  <c r="S49" i="102"/>
  <c r="T49" i="102" s="1"/>
  <c r="V49" i="102" s="1"/>
  <c r="W49" i="102" s="1"/>
  <c r="S12" i="110"/>
  <c r="T12" i="110" s="1"/>
  <c r="V12" i="110" s="1"/>
  <c r="AJ23" i="80"/>
  <c r="AM23" i="80"/>
  <c r="AI12" i="106"/>
  <c r="AK12" i="106"/>
  <c r="AL12" i="106" s="1"/>
  <c r="W12" i="106"/>
  <c r="AI9" i="105"/>
  <c r="AM9" i="105"/>
  <c r="AJ9" i="105"/>
  <c r="AK9" i="105"/>
  <c r="AI35" i="108"/>
  <c r="AK35" i="108"/>
  <c r="AL35" i="108" s="1"/>
  <c r="W35" i="108"/>
  <c r="P18" i="102"/>
  <c r="R18" i="102" s="1"/>
  <c r="O66" i="102"/>
  <c r="O9" i="106"/>
  <c r="P9" i="106" s="1"/>
  <c r="S15" i="100"/>
  <c r="T15" i="100" s="1"/>
  <c r="V15" i="100" s="1"/>
  <c r="AI15" i="100" s="1"/>
  <c r="AM16" i="99"/>
  <c r="AN16" i="99" s="1"/>
  <c r="AM18" i="105"/>
  <c r="M21" i="106"/>
  <c r="AI21" i="99"/>
  <c r="Q22" i="103"/>
  <c r="S22" i="103" s="1"/>
  <c r="T22" i="103" s="1"/>
  <c r="V22" i="103" s="1"/>
  <c r="K14" i="111"/>
  <c r="Q14" i="111" s="1"/>
  <c r="W15" i="109"/>
  <c r="S25" i="99"/>
  <c r="T25" i="99" s="1"/>
  <c r="V25" i="99" s="1"/>
  <c r="W25" i="99" s="1"/>
  <c r="S51" i="108"/>
  <c r="T51" i="108" s="1"/>
  <c r="V51" i="108" s="1"/>
  <c r="S22" i="80"/>
  <c r="T22" i="80" s="1"/>
  <c r="V22" i="80" s="1"/>
  <c r="O19" i="108"/>
  <c r="P19" i="108" s="1"/>
  <c r="R27" i="105"/>
  <c r="Q27" i="105"/>
  <c r="S40" i="84"/>
  <c r="T40" i="84" s="1"/>
  <c r="V40" i="84" s="1"/>
  <c r="W40" i="84" s="1"/>
  <c r="Q18" i="101"/>
  <c r="S18" i="101" s="1"/>
  <c r="T18" i="101" s="1"/>
  <c r="V18" i="101" s="1"/>
  <c r="AI16" i="99"/>
  <c r="AI18" i="105"/>
  <c r="AJ21" i="99"/>
  <c r="S40" i="108"/>
  <c r="T40" i="108" s="1"/>
  <c r="V40" i="108" s="1"/>
  <c r="S22" i="109"/>
  <c r="T22" i="109" s="1"/>
  <c r="V22" i="109" s="1"/>
  <c r="W22" i="109" s="1"/>
  <c r="S39" i="84"/>
  <c r="T39" i="84" s="1"/>
  <c r="V39" i="84" s="1"/>
  <c r="AK15" i="109"/>
  <c r="AL15" i="109" s="1"/>
  <c r="S18" i="106"/>
  <c r="T18" i="106" s="1"/>
  <c r="V18" i="106" s="1"/>
  <c r="S9" i="99"/>
  <c r="T9" i="99" s="1"/>
  <c r="V9" i="99" s="1"/>
  <c r="AI9" i="99" s="1"/>
  <c r="R27" i="110"/>
  <c r="S27" i="110" s="1"/>
  <c r="R27" i="104"/>
  <c r="Q27" i="104"/>
  <c r="S12" i="100"/>
  <c r="T12" i="100" s="1"/>
  <c r="V12" i="100" s="1"/>
  <c r="S16" i="103"/>
  <c r="T16" i="103" s="1"/>
  <c r="V16" i="103" s="1"/>
  <c r="L67" i="84"/>
  <c r="W24" i="103"/>
  <c r="L52" i="108"/>
  <c r="T29" i="84"/>
  <c r="V29" i="84" s="1"/>
  <c r="AI29" i="84" s="1"/>
  <c r="L25" i="109"/>
  <c r="R17" i="108"/>
  <c r="S17" i="108" s="1"/>
  <c r="T17" i="108" s="1"/>
  <c r="V17" i="108" s="1"/>
  <c r="S47" i="84"/>
  <c r="T47" i="84" s="1"/>
  <c r="V47" i="84" s="1"/>
  <c r="AI47" i="84" s="1"/>
  <c r="S22" i="104"/>
  <c r="T22" i="104" s="1"/>
  <c r="V22" i="104" s="1"/>
  <c r="W22" i="104" s="1"/>
  <c r="S18" i="109"/>
  <c r="S21" i="85"/>
  <c r="T21" i="85" s="1"/>
  <c r="V21" i="85" s="1"/>
  <c r="W21" i="85" s="1"/>
  <c r="S14" i="103"/>
  <c r="T14" i="103" s="1"/>
  <c r="V14" i="103" s="1"/>
  <c r="AI14" i="103" s="1"/>
  <c r="AM19" i="80"/>
  <c r="AI40" i="102"/>
  <c r="M10" i="84"/>
  <c r="M64" i="84" s="1"/>
  <c r="M67" i="84" s="1"/>
  <c r="S22" i="85"/>
  <c r="R15" i="110"/>
  <c r="Q15" i="110"/>
  <c r="Q26" i="105"/>
  <c r="R26" i="105"/>
  <c r="Q22" i="105"/>
  <c r="R22" i="105"/>
  <c r="S50" i="102"/>
  <c r="S45" i="84"/>
  <c r="T45" i="84" s="1"/>
  <c r="V45" i="84" s="1"/>
  <c r="W45" i="84" s="1"/>
  <c r="AI19" i="80"/>
  <c r="S10" i="101"/>
  <c r="T10" i="101" s="1"/>
  <c r="V10" i="101" s="1"/>
  <c r="AI10" i="101" s="1"/>
  <c r="S24" i="99"/>
  <c r="T24" i="99" s="1"/>
  <c r="V24" i="99" s="1"/>
  <c r="AI24" i="99" s="1"/>
  <c r="S20" i="99"/>
  <c r="T20" i="99" s="1"/>
  <c r="V20" i="99" s="1"/>
  <c r="AM20" i="99" s="1"/>
  <c r="S20" i="105"/>
  <c r="T20" i="105" s="1"/>
  <c r="V20" i="105" s="1"/>
  <c r="AJ20" i="105" s="1"/>
  <c r="P11" i="84"/>
  <c r="Q11" i="84" s="1"/>
  <c r="Q66" i="84" s="1"/>
  <c r="S18" i="100"/>
  <c r="T13" i="99"/>
  <c r="V13" i="99" s="1"/>
  <c r="AK13" i="99" s="1"/>
  <c r="S12" i="109"/>
  <c r="T12" i="109" s="1"/>
  <c r="V12" i="109" s="1"/>
  <c r="AK12" i="109" s="1"/>
  <c r="S14" i="104"/>
  <c r="T14" i="104" s="1"/>
  <c r="V14" i="104" s="1"/>
  <c r="S13" i="100"/>
  <c r="T13" i="100" s="1"/>
  <c r="V13" i="100" s="1"/>
  <c r="S22" i="107"/>
  <c r="T22" i="107" s="1"/>
  <c r="V22" i="107" s="1"/>
  <c r="W22" i="107" s="1"/>
  <c r="S21" i="104"/>
  <c r="T21" i="104" s="1"/>
  <c r="V21" i="104" s="1"/>
  <c r="Q22" i="110"/>
  <c r="R22" i="110"/>
  <c r="S30" i="84"/>
  <c r="T30" i="84" s="1"/>
  <c r="V30" i="84" s="1"/>
  <c r="S22" i="99"/>
  <c r="T22" i="99" s="1"/>
  <c r="V22" i="99" s="1"/>
  <c r="S27" i="99"/>
  <c r="S25" i="84"/>
  <c r="T25" i="84" s="1"/>
  <c r="V25" i="84" s="1"/>
  <c r="S27" i="80"/>
  <c r="S11" i="86"/>
  <c r="T18" i="109"/>
  <c r="V18" i="109" s="1"/>
  <c r="W18" i="109" s="1"/>
  <c r="S12" i="80"/>
  <c r="S26" i="80"/>
  <c r="T26" i="80" s="1"/>
  <c r="V26" i="80" s="1"/>
  <c r="W26" i="80" s="1"/>
  <c r="AK23" i="80"/>
  <c r="S41" i="108"/>
  <c r="S17" i="99"/>
  <c r="T17" i="99" s="1"/>
  <c r="V17" i="99" s="1"/>
  <c r="S22" i="101"/>
  <c r="T22" i="101" s="1"/>
  <c r="V22" i="101" s="1"/>
  <c r="S15" i="81"/>
  <c r="T15" i="81" s="1"/>
  <c r="V15" i="81" s="1"/>
  <c r="W15" i="81" s="1"/>
  <c r="R26" i="104"/>
  <c r="Q26" i="104"/>
  <c r="S10" i="102"/>
  <c r="T10" i="102" s="1"/>
  <c r="V10" i="102" s="1"/>
  <c r="AK17" i="101"/>
  <c r="AL17" i="101" s="1"/>
  <c r="AI17" i="101"/>
  <c r="R12" i="107"/>
  <c r="Q12" i="107"/>
  <c r="S14" i="108"/>
  <c r="T14" i="108" s="1"/>
  <c r="V14" i="108" s="1"/>
  <c r="S13" i="85"/>
  <c r="T13" i="85" s="1"/>
  <c r="V13" i="85" s="1"/>
  <c r="Q13" i="108"/>
  <c r="R13" i="108"/>
  <c r="AI33" i="108"/>
  <c r="AK33" i="108"/>
  <c r="AL33" i="108" s="1"/>
  <c r="W33" i="108"/>
  <c r="AK20" i="105"/>
  <c r="O13" i="102"/>
  <c r="P13" i="102" s="1"/>
  <c r="Q18" i="102"/>
  <c r="Q20" i="104"/>
  <c r="R20" i="104"/>
  <c r="T14" i="110"/>
  <c r="V14" i="110" s="1"/>
  <c r="AK14" i="110" s="1"/>
  <c r="W20" i="109"/>
  <c r="AK20" i="109"/>
  <c r="AN20" i="109" s="1"/>
  <c r="R27" i="102"/>
  <c r="Q27" i="102"/>
  <c r="W27" i="84"/>
  <c r="AK27" i="84"/>
  <c r="AL27" i="84" s="1"/>
  <c r="AI27" i="84"/>
  <c r="Q31" i="102"/>
  <c r="R31" i="102"/>
  <c r="R9" i="110"/>
  <c r="Q9" i="110"/>
  <c r="R36" i="102"/>
  <c r="Q36" i="102"/>
  <c r="Q15" i="86"/>
  <c r="R15" i="86"/>
  <c r="AK10" i="104"/>
  <c r="AI10" i="104"/>
  <c r="O51" i="84"/>
  <c r="P51" i="84" s="1"/>
  <c r="M52" i="84"/>
  <c r="R23" i="103"/>
  <c r="Q23" i="103"/>
  <c r="R37" i="84"/>
  <c r="Q37" i="84"/>
  <c r="Q15" i="105"/>
  <c r="R15" i="105"/>
  <c r="M65" i="102"/>
  <c r="S9" i="84"/>
  <c r="O10" i="86"/>
  <c r="P10" i="86" s="1"/>
  <c r="R10" i="86" s="1"/>
  <c r="S43" i="102"/>
  <c r="T43" i="102" s="1"/>
  <c r="V43" i="102" s="1"/>
  <c r="AK14" i="109"/>
  <c r="AL14" i="109" s="1"/>
  <c r="T12" i="80"/>
  <c r="V12" i="80" s="1"/>
  <c r="AJ12" i="80" s="1"/>
  <c r="AI23" i="80"/>
  <c r="AK40" i="102"/>
  <c r="AL40" i="102" s="1"/>
  <c r="R11" i="101"/>
  <c r="Q11" i="101"/>
  <c r="O15" i="99"/>
  <c r="P15" i="99" s="1"/>
  <c r="Q32" i="84"/>
  <c r="R32" i="84"/>
  <c r="Q29" i="102"/>
  <c r="R29" i="102"/>
  <c r="W26" i="108"/>
  <c r="AI26" i="108"/>
  <c r="AK26" i="108"/>
  <c r="AL26" i="108" s="1"/>
  <c r="R12" i="108"/>
  <c r="Q12" i="108"/>
  <c r="Q10" i="109"/>
  <c r="R10" i="109"/>
  <c r="AI37" i="102"/>
  <c r="AK37" i="102"/>
  <c r="AL37" i="102" s="1"/>
  <c r="W37" i="102"/>
  <c r="R48" i="108"/>
  <c r="Q48" i="108"/>
  <c r="O10" i="84"/>
  <c r="O52" i="84" s="1"/>
  <c r="R26" i="86"/>
  <c r="Q26" i="86"/>
  <c r="O18" i="103"/>
  <c r="P18" i="103" s="1"/>
  <c r="Q17" i="86"/>
  <c r="R17" i="86"/>
  <c r="AI48" i="102"/>
  <c r="AK48" i="102"/>
  <c r="AL48" i="102" s="1"/>
  <c r="W48" i="102"/>
  <c r="O9" i="109"/>
  <c r="P9" i="109" s="1"/>
  <c r="R10" i="81"/>
  <c r="Q10" i="81"/>
  <c r="S20" i="101"/>
  <c r="T20" i="101" s="1"/>
  <c r="V20" i="101" s="1"/>
  <c r="T16" i="80"/>
  <c r="V16" i="80" s="1"/>
  <c r="AM16" i="80" s="1"/>
  <c r="S39" i="108"/>
  <c r="T39" i="108" s="1"/>
  <c r="V39" i="108" s="1"/>
  <c r="T14" i="84"/>
  <c r="V14" i="84" s="1"/>
  <c r="AK14" i="84" s="1"/>
  <c r="M25" i="109"/>
  <c r="S19" i="84"/>
  <c r="T19" i="84" s="1"/>
  <c r="V19" i="84" s="1"/>
  <c r="W19" i="84" s="1"/>
  <c r="T13" i="86"/>
  <c r="V13" i="86" s="1"/>
  <c r="W13" i="86" s="1"/>
  <c r="AI24" i="103"/>
  <c r="T20" i="100"/>
  <c r="V20" i="100" s="1"/>
  <c r="M64" i="108"/>
  <c r="T27" i="80"/>
  <c r="V27" i="80" s="1"/>
  <c r="AM27" i="80" s="1"/>
  <c r="S15" i="80"/>
  <c r="T15" i="80" s="1"/>
  <c r="V15" i="80" s="1"/>
  <c r="S47" i="102"/>
  <c r="T47" i="102" s="1"/>
  <c r="V47" i="102" s="1"/>
  <c r="AK47" i="102" s="1"/>
  <c r="AL47" i="102" s="1"/>
  <c r="S43" i="84"/>
  <c r="T43" i="84" s="1"/>
  <c r="V43" i="84" s="1"/>
  <c r="AI43" i="84" s="1"/>
  <c r="T11" i="86"/>
  <c r="V11" i="86" s="1"/>
  <c r="AK11" i="86" s="1"/>
  <c r="AL11" i="86" s="1"/>
  <c r="S12" i="84"/>
  <c r="T12" i="84" s="1"/>
  <c r="V12" i="84" s="1"/>
  <c r="S25" i="104"/>
  <c r="S17" i="103"/>
  <c r="T17" i="103" s="1"/>
  <c r="V17" i="103" s="1"/>
  <c r="S23" i="104"/>
  <c r="T23" i="104" s="1"/>
  <c r="V23" i="104" s="1"/>
  <c r="W23" i="80"/>
  <c r="T41" i="108"/>
  <c r="V41" i="108" s="1"/>
  <c r="W41" i="108" s="1"/>
  <c r="M15" i="101"/>
  <c r="M20" i="108"/>
  <c r="W21" i="110"/>
  <c r="AI21" i="110"/>
  <c r="AK21" i="110"/>
  <c r="AL21" i="110" s="1"/>
  <c r="S31" i="108"/>
  <c r="T31" i="108" s="1"/>
  <c r="V31" i="108" s="1"/>
  <c r="S11" i="105"/>
  <c r="T11" i="105" s="1"/>
  <c r="V11" i="105" s="1"/>
  <c r="T10" i="108"/>
  <c r="V10" i="108" s="1"/>
  <c r="O9" i="102"/>
  <c r="O64" i="102" s="1"/>
  <c r="M64" i="102"/>
  <c r="O25" i="105"/>
  <c r="P25" i="105" s="1"/>
  <c r="S11" i="99"/>
  <c r="T11" i="99" s="1"/>
  <c r="V11" i="99" s="1"/>
  <c r="S39" i="102"/>
  <c r="T39" i="102" s="1"/>
  <c r="V39" i="102" s="1"/>
  <c r="T22" i="85"/>
  <c r="V22" i="85" s="1"/>
  <c r="Q23" i="99"/>
  <c r="R23" i="99"/>
  <c r="R18" i="107"/>
  <c r="Q18" i="107"/>
  <c r="Q45" i="108"/>
  <c r="R45" i="108"/>
  <c r="AK10" i="101"/>
  <c r="AK24" i="99"/>
  <c r="AM24" i="99"/>
  <c r="AJ24" i="99"/>
  <c r="W24" i="99"/>
  <c r="O25" i="80"/>
  <c r="O28" i="80" s="1"/>
  <c r="S13" i="101"/>
  <c r="T13" i="101" s="1"/>
  <c r="V13" i="101" s="1"/>
  <c r="Q17" i="81"/>
  <c r="R17" i="81"/>
  <c r="Q9" i="100"/>
  <c r="R9" i="100"/>
  <c r="Q19" i="106"/>
  <c r="R19" i="106"/>
  <c r="R15" i="102"/>
  <c r="Q15" i="102"/>
  <c r="S15" i="102" s="1"/>
  <c r="R9" i="101"/>
  <c r="Q9" i="101"/>
  <c r="R16" i="106"/>
  <c r="Q16" i="106"/>
  <c r="AI13" i="99"/>
  <c r="AM13" i="99"/>
  <c r="AJ13" i="99"/>
  <c r="S18" i="84"/>
  <c r="T18" i="84" s="1"/>
  <c r="V18" i="84" s="1"/>
  <c r="S44" i="108"/>
  <c r="T44" i="108" s="1"/>
  <c r="V44" i="108" s="1"/>
  <c r="S27" i="86"/>
  <c r="T27" i="86" s="1"/>
  <c r="V27" i="86" s="1"/>
  <c r="AK27" i="86" s="1"/>
  <c r="AL27" i="86" s="1"/>
  <c r="S17" i="85"/>
  <c r="T17" i="85" s="1"/>
  <c r="V17" i="85" s="1"/>
  <c r="T18" i="100"/>
  <c r="V18" i="100" s="1"/>
  <c r="AK18" i="100" s="1"/>
  <c r="AL18" i="100" s="1"/>
  <c r="T23" i="102"/>
  <c r="V23" i="102" s="1"/>
  <c r="AI23" i="102" s="1"/>
  <c r="S22" i="86"/>
  <c r="T22" i="86" s="1"/>
  <c r="V22" i="86" s="1"/>
  <c r="L52" i="84"/>
  <c r="L52" i="102"/>
  <c r="O28" i="104"/>
  <c r="S50" i="84"/>
  <c r="T50" i="84" s="1"/>
  <c r="V50" i="84" s="1"/>
  <c r="AK50" i="84" s="1"/>
  <c r="AL50" i="84" s="1"/>
  <c r="S22" i="84"/>
  <c r="T22" i="84" s="1"/>
  <c r="V22" i="84" s="1"/>
  <c r="S16" i="85"/>
  <c r="T16" i="85" s="1"/>
  <c r="V16" i="85" s="1"/>
  <c r="S12" i="101"/>
  <c r="T12" i="101" s="1"/>
  <c r="S21" i="84"/>
  <c r="T21" i="84" s="1"/>
  <c r="V21" i="84" s="1"/>
  <c r="S20" i="85"/>
  <c r="S14" i="101"/>
  <c r="T14" i="101" s="1"/>
  <c r="V14" i="101" s="1"/>
  <c r="W14" i="101" s="1"/>
  <c r="S21" i="80"/>
  <c r="T21" i="80" s="1"/>
  <c r="V21" i="80" s="1"/>
  <c r="W21" i="80" s="1"/>
  <c r="S23" i="84"/>
  <c r="T23" i="84" s="1"/>
  <c r="V23" i="84" s="1"/>
  <c r="W23" i="84" s="1"/>
  <c r="S21" i="103"/>
  <c r="T21" i="103" s="1"/>
  <c r="V21" i="103" s="1"/>
  <c r="W11" i="104"/>
  <c r="AK11" i="104"/>
  <c r="AL11" i="104" s="1"/>
  <c r="AI11" i="104"/>
  <c r="S16" i="104"/>
  <c r="T16" i="104" s="1"/>
  <c r="V16" i="104" s="1"/>
  <c r="S51" i="102"/>
  <c r="T51" i="102" s="1"/>
  <c r="V51" i="102" s="1"/>
  <c r="L65" i="102"/>
  <c r="L67" i="102" s="1"/>
  <c r="K52" i="84"/>
  <c r="K64" i="84"/>
  <c r="K67" i="84" s="1"/>
  <c r="M9" i="103"/>
  <c r="K25" i="103"/>
  <c r="S23" i="105"/>
  <c r="T23" i="105" s="1"/>
  <c r="V23" i="105" s="1"/>
  <c r="S22" i="108"/>
  <c r="T22" i="108" s="1"/>
  <c r="V22" i="108" s="1"/>
  <c r="T14" i="80"/>
  <c r="V14" i="80" s="1"/>
  <c r="S26" i="102"/>
  <c r="T26" i="102" s="1"/>
  <c r="V26" i="102" s="1"/>
  <c r="AI26" i="102" s="1"/>
  <c r="S46" i="108"/>
  <c r="T46" i="108" s="1"/>
  <c r="V46" i="108" s="1"/>
  <c r="Q21" i="86"/>
  <c r="R21" i="86"/>
  <c r="Q19" i="109"/>
  <c r="R19" i="109"/>
  <c r="K13" i="111"/>
  <c r="Q13" i="111" s="1"/>
  <c r="K13" i="42"/>
  <c r="N13" i="42" s="1"/>
  <c r="R10" i="85"/>
  <c r="Q10" i="85"/>
  <c r="Q16" i="108"/>
  <c r="R16" i="108"/>
  <c r="Q17" i="100"/>
  <c r="R17" i="100"/>
  <c r="R15" i="108"/>
  <c r="Q15" i="108"/>
  <c r="R19" i="105"/>
  <c r="Q19" i="105"/>
  <c r="R19" i="81"/>
  <c r="Q19" i="81"/>
  <c r="AK20" i="80"/>
  <c r="AM20" i="80"/>
  <c r="W20" i="80"/>
  <c r="AJ20" i="80"/>
  <c r="AI20" i="80"/>
  <c r="Q13" i="81"/>
  <c r="R13" i="81"/>
  <c r="Q32" i="108"/>
  <c r="R32" i="108"/>
  <c r="AI50" i="84"/>
  <c r="Q27" i="108"/>
  <c r="R27" i="108"/>
  <c r="Q17" i="84"/>
  <c r="R17" i="84"/>
  <c r="AI22" i="104"/>
  <c r="R35" i="84"/>
  <c r="Q35" i="84"/>
  <c r="Q23" i="108"/>
  <c r="R23" i="108"/>
  <c r="AJ26" i="80"/>
  <c r="Q17" i="109"/>
  <c r="R17" i="109"/>
  <c r="AI23" i="84"/>
  <c r="AK37" i="108"/>
  <c r="AL37" i="108" s="1"/>
  <c r="W37" i="108"/>
  <c r="AI37" i="108"/>
  <c r="R12" i="81"/>
  <c r="Q12" i="81"/>
  <c r="R14" i="106"/>
  <c r="Q14" i="106"/>
  <c r="AK24" i="85"/>
  <c r="AI24" i="85"/>
  <c r="W24" i="85"/>
  <c r="V9" i="107"/>
  <c r="Q21" i="105"/>
  <c r="R21" i="105"/>
  <c r="AK40" i="84"/>
  <c r="AL40" i="84" s="1"/>
  <c r="AK28" i="102"/>
  <c r="W26" i="84"/>
  <c r="AI26" i="84"/>
  <c r="AK26" i="84"/>
  <c r="AL26" i="84" s="1"/>
  <c r="AK13" i="107"/>
  <c r="AL13" i="107" s="1"/>
  <c r="W13" i="107"/>
  <c r="AI13" i="107"/>
  <c r="AI30" i="102"/>
  <c r="Q9" i="81"/>
  <c r="R9" i="81"/>
  <c r="P21" i="81"/>
  <c r="Q23" i="110"/>
  <c r="R23" i="110"/>
  <c r="Q17" i="105"/>
  <c r="R17" i="105"/>
  <c r="Q44" i="102"/>
  <c r="R44" i="102"/>
  <c r="Q21" i="101"/>
  <c r="R21" i="101"/>
  <c r="Q11" i="100"/>
  <c r="R11" i="100"/>
  <c r="R14" i="81"/>
  <c r="Q14" i="81"/>
  <c r="R18" i="81"/>
  <c r="Q18" i="81"/>
  <c r="Q21" i="107"/>
  <c r="R21" i="107"/>
  <c r="R10" i="106"/>
  <c r="Q10" i="106"/>
  <c r="W23" i="86"/>
  <c r="AI23" i="86"/>
  <c r="AK23" i="86"/>
  <c r="AL23" i="86" s="1"/>
  <c r="AI20" i="107"/>
  <c r="AK20" i="107"/>
  <c r="AL20" i="107" s="1"/>
  <c r="W20" i="107"/>
  <c r="AK20" i="100"/>
  <c r="AL20" i="100" s="1"/>
  <c r="W20" i="100"/>
  <c r="AI20" i="100"/>
  <c r="Q12" i="103"/>
  <c r="R12" i="103"/>
  <c r="AI47" i="102"/>
  <c r="W47" i="102"/>
  <c r="Q13" i="110"/>
  <c r="R13" i="110"/>
  <c r="Q11" i="81"/>
  <c r="R11" i="81"/>
  <c r="AK17" i="80"/>
  <c r="AJ17" i="80"/>
  <c r="AI17" i="80"/>
  <c r="W17" i="80"/>
  <c r="AM17" i="80"/>
  <c r="Q11" i="109"/>
  <c r="R11" i="109"/>
  <c r="Q28" i="108"/>
  <c r="R28" i="108"/>
  <c r="W49" i="84"/>
  <c r="AK49" i="84"/>
  <c r="AL49" i="84" s="1"/>
  <c r="AI49" i="84"/>
  <c r="R25" i="108"/>
  <c r="Q25" i="108"/>
  <c r="AI22" i="109"/>
  <c r="AK22" i="109"/>
  <c r="AK16" i="100"/>
  <c r="AL16" i="100" s="1"/>
  <c r="W16" i="100"/>
  <c r="AI16" i="100"/>
  <c r="R33" i="102"/>
  <c r="Q33" i="102"/>
  <c r="AJ25" i="99"/>
  <c r="AI25" i="99"/>
  <c r="AM25" i="99"/>
  <c r="R19" i="102"/>
  <c r="Q19" i="102"/>
  <c r="AI41" i="84"/>
  <c r="W41" i="84"/>
  <c r="AK41" i="84"/>
  <c r="AL41" i="84" s="1"/>
  <c r="AI12" i="104"/>
  <c r="AK12" i="104"/>
  <c r="AL12" i="104" s="1"/>
  <c r="W12" i="104"/>
  <c r="R14" i="86"/>
  <c r="Q14" i="86"/>
  <c r="AI14" i="108"/>
  <c r="AK14" i="108"/>
  <c r="Q17" i="104"/>
  <c r="R17" i="104"/>
  <c r="K12" i="111"/>
  <c r="Q12" i="111" s="1"/>
  <c r="K11" i="42"/>
  <c r="N11" i="42" s="1"/>
  <c r="O25" i="102"/>
  <c r="P25" i="102" s="1"/>
  <c r="K10" i="111"/>
  <c r="K10" i="42"/>
  <c r="AK20" i="103"/>
  <c r="W20" i="103"/>
  <c r="AK14" i="105"/>
  <c r="W14" i="105"/>
  <c r="AI14" i="105"/>
  <c r="AM14" i="105"/>
  <c r="AJ14" i="105"/>
  <c r="Q12" i="102"/>
  <c r="R12" i="102"/>
  <c r="O19" i="103"/>
  <c r="AK15" i="106"/>
  <c r="AL15" i="106" s="1"/>
  <c r="W15" i="106"/>
  <c r="AI15" i="106"/>
  <c r="AK34" i="108"/>
  <c r="AI34" i="108"/>
  <c r="W17" i="102"/>
  <c r="AK17" i="102"/>
  <c r="AL17" i="102" s="1"/>
  <c r="AM17" i="102" s="1"/>
  <c r="AI17" i="102"/>
  <c r="Q15" i="85"/>
  <c r="R15" i="85"/>
  <c r="T27" i="99"/>
  <c r="V27" i="99" s="1"/>
  <c r="T14" i="102"/>
  <c r="P19" i="101"/>
  <c r="S38" i="102"/>
  <c r="T38" i="102" s="1"/>
  <c r="V38" i="102" s="1"/>
  <c r="S20" i="86"/>
  <c r="T20" i="86" s="1"/>
  <c r="V20" i="86" s="1"/>
  <c r="AN10" i="80"/>
  <c r="W10" i="80" s="1"/>
  <c r="S15" i="84"/>
  <c r="T15" i="84" s="1"/>
  <c r="V15" i="84" s="1"/>
  <c r="M9" i="85"/>
  <c r="S25" i="86"/>
  <c r="T25" i="86" s="1"/>
  <c r="V25" i="86" s="1"/>
  <c r="W25" i="86" s="1"/>
  <c r="S16" i="109"/>
  <c r="T16" i="109" s="1"/>
  <c r="V16" i="109" s="1"/>
  <c r="S18" i="99"/>
  <c r="T18" i="99" s="1"/>
  <c r="V18" i="99" s="1"/>
  <c r="S16" i="110"/>
  <c r="T16" i="110" s="1"/>
  <c r="V16" i="110" s="1"/>
  <c r="S48" i="84"/>
  <c r="T48" i="84" s="1"/>
  <c r="V48" i="84" s="1"/>
  <c r="O65" i="84"/>
  <c r="S24" i="102"/>
  <c r="T24" i="102" s="1"/>
  <c r="V24" i="102" s="1"/>
  <c r="AN21" i="99"/>
  <c r="M52" i="102"/>
  <c r="P14" i="99"/>
  <c r="P18" i="104"/>
  <c r="P28" i="104" s="1"/>
  <c r="S28" i="84"/>
  <c r="T28" i="84" s="1"/>
  <c r="V28" i="84" s="1"/>
  <c r="T50" i="102"/>
  <c r="V50" i="102" s="1"/>
  <c r="S24" i="84"/>
  <c r="T24" i="84" s="1"/>
  <c r="V24" i="84" s="1"/>
  <c r="AJ16" i="105"/>
  <c r="W16" i="105"/>
  <c r="AK16" i="105"/>
  <c r="AM16" i="105"/>
  <c r="AI16" i="105"/>
  <c r="Q15" i="107"/>
  <c r="R15" i="107"/>
  <c r="AK43" i="108"/>
  <c r="AI43" i="108"/>
  <c r="Q20" i="84"/>
  <c r="R20" i="84"/>
  <c r="Q20" i="106"/>
  <c r="R20" i="106"/>
  <c r="O14" i="85"/>
  <c r="P14" i="85" s="1"/>
  <c r="Q9" i="86"/>
  <c r="R9" i="86"/>
  <c r="Q9" i="108"/>
  <c r="R9" i="108"/>
  <c r="P64" i="108"/>
  <c r="AN14" i="109"/>
  <c r="R11" i="85"/>
  <c r="Q11" i="85"/>
  <c r="R14" i="107"/>
  <c r="Q14" i="107"/>
  <c r="R23" i="85"/>
  <c r="Q23" i="85"/>
  <c r="AN15" i="109"/>
  <c r="AI14" i="110"/>
  <c r="R47" i="108"/>
  <c r="Q47" i="108"/>
  <c r="AN23" i="80"/>
  <c r="Q24" i="86"/>
  <c r="R24" i="86"/>
  <c r="AI21" i="108"/>
  <c r="AK21" i="108"/>
  <c r="AI41" i="102"/>
  <c r="W41" i="102"/>
  <c r="AK41" i="102"/>
  <c r="AL41" i="102" s="1"/>
  <c r="Q16" i="86"/>
  <c r="R16" i="86"/>
  <c r="AK14" i="100"/>
  <c r="AL14" i="100" s="1"/>
  <c r="W14" i="100"/>
  <c r="AI14" i="100"/>
  <c r="W26" i="102"/>
  <c r="V10" i="110"/>
  <c r="V10" i="105"/>
  <c r="Q15" i="104"/>
  <c r="R15" i="104"/>
  <c r="Q21" i="109"/>
  <c r="R21" i="109"/>
  <c r="R13" i="106"/>
  <c r="Q13" i="106"/>
  <c r="AI15" i="81"/>
  <c r="O20" i="110"/>
  <c r="P20" i="110" s="1"/>
  <c r="R13" i="84"/>
  <c r="P65" i="84"/>
  <c r="Q13" i="84"/>
  <c r="AN24" i="103"/>
  <c r="AP24" i="103"/>
  <c r="AL24" i="103"/>
  <c r="O64" i="108"/>
  <c r="Q10" i="107"/>
  <c r="R10" i="107"/>
  <c r="O19" i="86"/>
  <c r="P19" i="86" s="1"/>
  <c r="AK45" i="102"/>
  <c r="AL45" i="102" s="1"/>
  <c r="AI45" i="102"/>
  <c r="W45" i="102"/>
  <c r="Q24" i="80"/>
  <c r="R24" i="80"/>
  <c r="Q12" i="85"/>
  <c r="R12" i="85"/>
  <c r="O11" i="108"/>
  <c r="O66" i="108" s="1"/>
  <c r="M66" i="108"/>
  <c r="Q19" i="104"/>
  <c r="R19" i="104"/>
  <c r="Q19" i="85"/>
  <c r="R19" i="85"/>
  <c r="Q24" i="108"/>
  <c r="R24" i="108"/>
  <c r="Q35" i="102"/>
  <c r="R35" i="102"/>
  <c r="R18" i="85"/>
  <c r="Q18" i="85"/>
  <c r="S18" i="85" s="1"/>
  <c r="Q11" i="110"/>
  <c r="R11" i="110"/>
  <c r="T9" i="80"/>
  <c r="S10" i="103"/>
  <c r="P12" i="105"/>
  <c r="S20" i="102"/>
  <c r="T20" i="102" s="1"/>
  <c r="V20" i="102" s="1"/>
  <c r="S10" i="99"/>
  <c r="T10" i="99" s="1"/>
  <c r="S13" i="80"/>
  <c r="T25" i="104"/>
  <c r="V25" i="104" s="1"/>
  <c r="W25" i="104" s="1"/>
  <c r="T26" i="99"/>
  <c r="V26" i="99" s="1"/>
  <c r="S46" i="84"/>
  <c r="T46" i="84" s="1"/>
  <c r="V46" i="84" s="1"/>
  <c r="T20" i="85"/>
  <c r="V20" i="85" s="1"/>
  <c r="AK16" i="80"/>
  <c r="W16" i="80"/>
  <c r="AI9" i="104"/>
  <c r="AK9" i="104"/>
  <c r="O22" i="102"/>
  <c r="AK23" i="102"/>
  <c r="AL23" i="102" s="1"/>
  <c r="R18" i="80"/>
  <c r="Q18" i="80"/>
  <c r="R32" i="102"/>
  <c r="Q32" i="102"/>
  <c r="AI19" i="100"/>
  <c r="AK19" i="100"/>
  <c r="AL19" i="100" s="1"/>
  <c r="W19" i="100"/>
  <c r="Q16" i="81"/>
  <c r="R16" i="81"/>
  <c r="AK16" i="101"/>
  <c r="AL16" i="101" s="1"/>
  <c r="W16" i="101"/>
  <c r="AI16" i="101"/>
  <c r="AK17" i="106"/>
  <c r="AL17" i="106" s="1"/>
  <c r="W17" i="106"/>
  <c r="AI17" i="106"/>
  <c r="R20" i="81"/>
  <c r="Q20" i="81"/>
  <c r="W33" i="84"/>
  <c r="AI33" i="84"/>
  <c r="AK33" i="84"/>
  <c r="AL33" i="84" s="1"/>
  <c r="W24" i="109"/>
  <c r="AK24" i="109"/>
  <c r="AI24" i="109"/>
  <c r="AI46" i="102"/>
  <c r="O19" i="107"/>
  <c r="P19" i="107" s="1"/>
  <c r="O13" i="105"/>
  <c r="Q30" i="108"/>
  <c r="R30" i="108"/>
  <c r="W18" i="86"/>
  <c r="AK18" i="86"/>
  <c r="AL18" i="86" s="1"/>
  <c r="AI18" i="86"/>
  <c r="W13" i="109"/>
  <c r="AI13" i="109"/>
  <c r="AK13" i="109"/>
  <c r="O10" i="100"/>
  <c r="O21" i="100" s="1"/>
  <c r="M21" i="100"/>
  <c r="W24" i="105"/>
  <c r="AM24" i="105"/>
  <c r="AK24" i="105"/>
  <c r="AJ24" i="105"/>
  <c r="AI24" i="105"/>
  <c r="AK36" i="108"/>
  <c r="AL36" i="108" s="1"/>
  <c r="AI36" i="108"/>
  <c r="W36" i="108"/>
  <c r="O11" i="106"/>
  <c r="Q31" i="84"/>
  <c r="R31" i="84"/>
  <c r="W26" i="110"/>
  <c r="AI26" i="110"/>
  <c r="AK26" i="110"/>
  <c r="AL26" i="110" s="1"/>
  <c r="Q18" i="108"/>
  <c r="R18" i="108"/>
  <c r="AK29" i="108"/>
  <c r="AI29" i="108"/>
  <c r="Q36" i="84"/>
  <c r="R36" i="84"/>
  <c r="AI34" i="84"/>
  <c r="AK34" i="84"/>
  <c r="L67" i="108"/>
  <c r="O21" i="81"/>
  <c r="K67" i="108"/>
  <c r="W46" i="102" l="1"/>
  <c r="S14" i="107"/>
  <c r="AN19" i="99"/>
  <c r="AJ27" i="80"/>
  <c r="S9" i="110"/>
  <c r="P66" i="84"/>
  <c r="AI16" i="102"/>
  <c r="S19" i="81"/>
  <c r="T19" i="81" s="1"/>
  <c r="V19" i="81" s="1"/>
  <c r="AK19" i="110"/>
  <c r="AL19" i="110" s="1"/>
  <c r="S27" i="105"/>
  <c r="R66" i="102"/>
  <c r="S17" i="84"/>
  <c r="AP20" i="109"/>
  <c r="T16" i="84"/>
  <c r="V16" i="84" s="1"/>
  <c r="AK16" i="84" s="1"/>
  <c r="S20" i="81"/>
  <c r="T20" i="81" s="1"/>
  <c r="V20" i="81" s="1"/>
  <c r="W20" i="81" s="1"/>
  <c r="AK22" i="80"/>
  <c r="W22" i="80"/>
  <c r="AJ22" i="80"/>
  <c r="W12" i="99"/>
  <c r="AI12" i="99"/>
  <c r="AK13" i="103"/>
  <c r="AI13" i="103"/>
  <c r="P11" i="107"/>
  <c r="Q11" i="107" s="1"/>
  <c r="O23" i="107"/>
  <c r="AK23" i="109"/>
  <c r="W23" i="109"/>
  <c r="O21" i="106"/>
  <c r="S19" i="85"/>
  <c r="AK26" i="102"/>
  <c r="AL26" i="102" s="1"/>
  <c r="M23" i="107"/>
  <c r="S10" i="106"/>
  <c r="T10" i="106" s="1"/>
  <c r="V10" i="106" s="1"/>
  <c r="AN10" i="101"/>
  <c r="AI19" i="110"/>
  <c r="S27" i="104"/>
  <c r="T27" i="104" s="1"/>
  <c r="V27" i="104" s="1"/>
  <c r="W12" i="111"/>
  <c r="AI12" i="109"/>
  <c r="AK43" i="84"/>
  <c r="AI27" i="86"/>
  <c r="AJ9" i="99"/>
  <c r="P66" i="102"/>
  <c r="AN19" i="80"/>
  <c r="AN9" i="105"/>
  <c r="S23" i="85"/>
  <c r="T23" i="85" s="1"/>
  <c r="V23" i="85" s="1"/>
  <c r="AK23" i="85" s="1"/>
  <c r="W12" i="109"/>
  <c r="AK41" i="108"/>
  <c r="AL41" i="108" s="1"/>
  <c r="AK22" i="107"/>
  <c r="AL22" i="107" s="1"/>
  <c r="AK49" i="108"/>
  <c r="AL49" i="108" s="1"/>
  <c r="W49" i="108"/>
  <c r="AI49" i="108"/>
  <c r="W11" i="80"/>
  <c r="AM11" i="80"/>
  <c r="AM22" i="99"/>
  <c r="AK22" i="99"/>
  <c r="AK14" i="104"/>
  <c r="AL14" i="104" s="1"/>
  <c r="AI14" i="104"/>
  <c r="W16" i="103"/>
  <c r="AK16" i="103"/>
  <c r="AM12" i="80"/>
  <c r="AK13" i="86"/>
  <c r="AL13" i="86" s="1"/>
  <c r="AI14" i="84"/>
  <c r="AI40" i="84"/>
  <c r="AK23" i="84"/>
  <c r="AL23" i="84" s="1"/>
  <c r="AM26" i="80"/>
  <c r="AK22" i="104"/>
  <c r="AL22" i="104" s="1"/>
  <c r="AK49" i="102"/>
  <c r="AL49" i="102" s="1"/>
  <c r="AK12" i="110"/>
  <c r="AL12" i="110" s="1"/>
  <c r="W12" i="110"/>
  <c r="AI12" i="110"/>
  <c r="S16" i="81"/>
  <c r="S30" i="108"/>
  <c r="T30" i="108" s="1"/>
  <c r="V30" i="108" s="1"/>
  <c r="AK29" i="84"/>
  <c r="AN29" i="84" s="1"/>
  <c r="O25" i="109"/>
  <c r="AP15" i="109"/>
  <c r="W15" i="100"/>
  <c r="W27" i="80"/>
  <c r="O28" i="105"/>
  <c r="S12" i="102"/>
  <c r="AI12" i="80"/>
  <c r="S25" i="108"/>
  <c r="T25" i="108" s="1"/>
  <c r="V25" i="108" s="1"/>
  <c r="W30" i="102"/>
  <c r="AI26" i="80"/>
  <c r="AK26" i="80"/>
  <c r="W50" i="84"/>
  <c r="W18" i="100"/>
  <c r="S9" i="101"/>
  <c r="T9" i="101" s="1"/>
  <c r="V9" i="101" s="1"/>
  <c r="AK9" i="99"/>
  <c r="AN9" i="99" s="1"/>
  <c r="W9" i="99" s="1"/>
  <c r="AI49" i="102"/>
  <c r="S26" i="104"/>
  <c r="T26" i="104" s="1"/>
  <c r="V26" i="104" s="1"/>
  <c r="W26" i="104" s="1"/>
  <c r="AI27" i="80"/>
  <c r="AI13" i="86"/>
  <c r="S48" i="108"/>
  <c r="T48" i="108" s="1"/>
  <c r="V48" i="108" s="1"/>
  <c r="AI30" i="84"/>
  <c r="W30" i="84"/>
  <c r="AI39" i="84"/>
  <c r="AK39" i="84"/>
  <c r="AL39" i="84" s="1"/>
  <c r="W39" i="84"/>
  <c r="W40" i="108"/>
  <c r="AI40" i="108"/>
  <c r="AK40" i="108"/>
  <c r="AL40" i="108" s="1"/>
  <c r="R19" i="108"/>
  <c r="Q19" i="108"/>
  <c r="O28" i="110"/>
  <c r="S15" i="86"/>
  <c r="T15" i="86" s="1"/>
  <c r="V15" i="86" s="1"/>
  <c r="S31" i="102"/>
  <c r="T31" i="102" s="1"/>
  <c r="V31" i="102" s="1"/>
  <c r="S18" i="102"/>
  <c r="T18" i="102" s="1"/>
  <c r="V18" i="102" s="1"/>
  <c r="W20" i="105"/>
  <c r="S13" i="108"/>
  <c r="T13" i="108" s="1"/>
  <c r="V13" i="108" s="1"/>
  <c r="AI13" i="108" s="1"/>
  <c r="AM9" i="99"/>
  <c r="AM20" i="105"/>
  <c r="AN20" i="105" s="1"/>
  <c r="AI20" i="105"/>
  <c r="W20" i="99"/>
  <c r="S26" i="105"/>
  <c r="T26" i="105" s="1"/>
  <c r="V26" i="105" s="1"/>
  <c r="AI26" i="105" s="1"/>
  <c r="R9" i="106"/>
  <c r="Q9" i="106"/>
  <c r="AK12" i="100"/>
  <c r="AL12" i="100" s="1"/>
  <c r="AI12" i="100"/>
  <c r="W12" i="100"/>
  <c r="Q10" i="86"/>
  <c r="S10" i="86" s="1"/>
  <c r="T10" i="86" s="1"/>
  <c r="V10" i="86" s="1"/>
  <c r="AJ16" i="80"/>
  <c r="AK18" i="109"/>
  <c r="AP18" i="109" s="1"/>
  <c r="S9" i="86"/>
  <c r="AK15" i="100"/>
  <c r="AL15" i="100" s="1"/>
  <c r="AK14" i="103"/>
  <c r="AK47" i="84"/>
  <c r="AL47" i="84" s="1"/>
  <c r="S27" i="108"/>
  <c r="T27" i="108" s="1"/>
  <c r="V27" i="108" s="1"/>
  <c r="W27" i="108" s="1"/>
  <c r="AI18" i="100"/>
  <c r="S17" i="81"/>
  <c r="AN24" i="99"/>
  <c r="S15" i="110"/>
  <c r="T15" i="110" s="1"/>
  <c r="V15" i="110" s="1"/>
  <c r="T27" i="105"/>
  <c r="V27" i="105" s="1"/>
  <c r="AK27" i="104"/>
  <c r="AL27" i="104" s="1"/>
  <c r="W27" i="104"/>
  <c r="AI27" i="104"/>
  <c r="Q66" i="102"/>
  <c r="P11" i="106"/>
  <c r="Q11" i="106" s="1"/>
  <c r="R11" i="84"/>
  <c r="R66" i="84" s="1"/>
  <c r="AI16" i="80"/>
  <c r="AM22" i="80"/>
  <c r="AK15" i="81"/>
  <c r="AL15" i="81" s="1"/>
  <c r="S24" i="86"/>
  <c r="T24" i="86" s="1"/>
  <c r="V24" i="86" s="1"/>
  <c r="W24" i="86" s="1"/>
  <c r="W13" i="103"/>
  <c r="S17" i="104"/>
  <c r="T17" i="104" s="1"/>
  <c r="V17" i="104" s="1"/>
  <c r="AK25" i="99"/>
  <c r="AN25" i="99" s="1"/>
  <c r="W14" i="103"/>
  <c r="W12" i="80"/>
  <c r="W47" i="84"/>
  <c r="AI21" i="85"/>
  <c r="AK27" i="80"/>
  <c r="AN27" i="80" s="1"/>
  <c r="AI22" i="107"/>
  <c r="AI21" i="80"/>
  <c r="AM12" i="99"/>
  <c r="S32" i="108"/>
  <c r="T32" i="108" s="1"/>
  <c r="V32" i="108" s="1"/>
  <c r="AK32" i="108" s="1"/>
  <c r="AI22" i="80"/>
  <c r="AP14" i="109"/>
  <c r="S11" i="81"/>
  <c r="T11" i="81" s="1"/>
  <c r="V11" i="81" s="1"/>
  <c r="AI19" i="84"/>
  <c r="S9" i="81"/>
  <c r="T9" i="81" s="1"/>
  <c r="AJ12" i="99"/>
  <c r="S17" i="100"/>
  <c r="T17" i="100" s="1"/>
  <c r="V17" i="100" s="1"/>
  <c r="W17" i="100" s="1"/>
  <c r="S9" i="100"/>
  <c r="T9" i="100" s="1"/>
  <c r="V9" i="100" s="1"/>
  <c r="AN9" i="100" s="1"/>
  <c r="S20" i="104"/>
  <c r="T20" i="104" s="1"/>
  <c r="V20" i="104" s="1"/>
  <c r="AI20" i="99"/>
  <c r="T27" i="110"/>
  <c r="V27" i="110" s="1"/>
  <c r="S22" i="105"/>
  <c r="T22" i="105" s="1"/>
  <c r="V22" i="105" s="1"/>
  <c r="AI22" i="108"/>
  <c r="AK22" i="108"/>
  <c r="AL22" i="108" s="1"/>
  <c r="AM17" i="99"/>
  <c r="AI17" i="99"/>
  <c r="W17" i="99"/>
  <c r="AK17" i="99"/>
  <c r="AJ17" i="99"/>
  <c r="AP10" i="102"/>
  <c r="AN10" i="102"/>
  <c r="AK10" i="102"/>
  <c r="AL10" i="102" s="1"/>
  <c r="AM10" i="102" s="1"/>
  <c r="AI10" i="102"/>
  <c r="AK26" i="105"/>
  <c r="S12" i="108"/>
  <c r="S37" i="84"/>
  <c r="T37" i="84" s="1"/>
  <c r="V37" i="84" s="1"/>
  <c r="S27" i="102"/>
  <c r="T27" i="102" s="1"/>
  <c r="V27" i="102" s="1"/>
  <c r="S12" i="107"/>
  <c r="T12" i="107" s="1"/>
  <c r="V12" i="107" s="1"/>
  <c r="O52" i="102"/>
  <c r="S24" i="80"/>
  <c r="T24" i="80" s="1"/>
  <c r="V24" i="80" s="1"/>
  <c r="S15" i="107"/>
  <c r="T15" i="107" s="1"/>
  <c r="V15" i="107" s="1"/>
  <c r="AI15" i="107" s="1"/>
  <c r="S28" i="108"/>
  <c r="T28" i="108" s="1"/>
  <c r="V28" i="108" s="1"/>
  <c r="AK28" i="108" s="1"/>
  <c r="S17" i="109"/>
  <c r="T17" i="109" s="1"/>
  <c r="V17" i="109" s="1"/>
  <c r="S13" i="81"/>
  <c r="T13" i="81" s="1"/>
  <c r="V13" i="81" s="1"/>
  <c r="AK26" i="104"/>
  <c r="AL26" i="104" s="1"/>
  <c r="AN24" i="105"/>
  <c r="S24" i="108"/>
  <c r="S21" i="109"/>
  <c r="S20" i="106"/>
  <c r="T20" i="106" s="1"/>
  <c r="V20" i="106" s="1"/>
  <c r="S21" i="105"/>
  <c r="T21" i="105" s="1"/>
  <c r="V21" i="105" s="1"/>
  <c r="AK14" i="101"/>
  <c r="AL14" i="101" s="1"/>
  <c r="S23" i="108"/>
  <c r="T23" i="108" s="1"/>
  <c r="V23" i="108" s="1"/>
  <c r="AK12" i="99"/>
  <c r="W27" i="86"/>
  <c r="S19" i="106"/>
  <c r="T19" i="106" s="1"/>
  <c r="V19" i="106" s="1"/>
  <c r="S18" i="107"/>
  <c r="T18" i="107" s="1"/>
  <c r="V18" i="107" s="1"/>
  <c r="AK18" i="107" s="1"/>
  <c r="AL18" i="107" s="1"/>
  <c r="P9" i="102"/>
  <c r="P64" i="102" s="1"/>
  <c r="O28" i="99"/>
  <c r="S26" i="86"/>
  <c r="T26" i="86" s="1"/>
  <c r="V26" i="86" s="1"/>
  <c r="S10" i="109"/>
  <c r="T10" i="109" s="1"/>
  <c r="V10" i="109" s="1"/>
  <c r="AI10" i="109" s="1"/>
  <c r="T9" i="110"/>
  <c r="V9" i="110" s="1"/>
  <c r="AK9" i="110" s="1"/>
  <c r="AK20" i="99"/>
  <c r="AJ20" i="99"/>
  <c r="W13" i="85"/>
  <c r="AI13" i="85"/>
  <c r="AK13" i="85"/>
  <c r="S22" i="110"/>
  <c r="T22" i="110" s="1"/>
  <c r="V22" i="110" s="1"/>
  <c r="S16" i="86"/>
  <c r="S14" i="86"/>
  <c r="T14" i="86" s="1"/>
  <c r="V14" i="86" s="1"/>
  <c r="S18" i="81"/>
  <c r="S35" i="84"/>
  <c r="T35" i="84" s="1"/>
  <c r="V35" i="84" s="1"/>
  <c r="S19" i="105"/>
  <c r="S16" i="106"/>
  <c r="T16" i="106" s="1"/>
  <c r="V16" i="106" s="1"/>
  <c r="AK16" i="106" s="1"/>
  <c r="AL16" i="106" s="1"/>
  <c r="S11" i="101"/>
  <c r="T11" i="101" s="1"/>
  <c r="V11" i="101" s="1"/>
  <c r="AK17" i="108"/>
  <c r="AL17" i="108" s="1"/>
  <c r="AM17" i="108" s="1"/>
  <c r="W17" i="108"/>
  <c r="AI17" i="108"/>
  <c r="AI21" i="103"/>
  <c r="AK21" i="103"/>
  <c r="AL21" i="103" s="1"/>
  <c r="W21" i="103"/>
  <c r="AN9" i="101"/>
  <c r="AK9" i="101"/>
  <c r="AP9" i="101" s="1"/>
  <c r="AI9" i="101"/>
  <c r="AK11" i="105"/>
  <c r="W11" i="105"/>
  <c r="AJ11" i="105"/>
  <c r="AI11" i="105"/>
  <c r="AM11" i="105"/>
  <c r="Q15" i="99"/>
  <c r="R15" i="99"/>
  <c r="AK20" i="104"/>
  <c r="AL20" i="104" s="1"/>
  <c r="W20" i="104"/>
  <c r="AI20" i="104"/>
  <c r="AK13" i="108"/>
  <c r="AL13" i="108" s="1"/>
  <c r="AK44" i="108"/>
  <c r="AL44" i="108" s="1"/>
  <c r="AI44" i="108"/>
  <c r="W44" i="108"/>
  <c r="W18" i="107"/>
  <c r="AK20" i="101"/>
  <c r="AL20" i="101" s="1"/>
  <c r="W20" i="101"/>
  <c r="AI20" i="101"/>
  <c r="R18" i="103"/>
  <c r="Q18" i="103"/>
  <c r="AI13" i="104"/>
  <c r="AK13" i="104"/>
  <c r="AL13" i="104" s="1"/>
  <c r="W13" i="104"/>
  <c r="AK43" i="102"/>
  <c r="AP43" i="102" s="1"/>
  <c r="AI43" i="102"/>
  <c r="AI39" i="102"/>
  <c r="W39" i="102"/>
  <c r="AK39" i="102"/>
  <c r="AL39" i="102" s="1"/>
  <c r="AK17" i="103"/>
  <c r="AN17" i="103" s="1"/>
  <c r="W17" i="103"/>
  <c r="AI17" i="103"/>
  <c r="W23" i="105"/>
  <c r="AK23" i="105"/>
  <c r="AI23" i="105"/>
  <c r="AM23" i="105"/>
  <c r="AJ23" i="105"/>
  <c r="AK16" i="104"/>
  <c r="AL16" i="104" s="1"/>
  <c r="W16" i="104"/>
  <c r="AI16" i="104"/>
  <c r="AJ11" i="99"/>
  <c r="AM11" i="99"/>
  <c r="W11" i="99"/>
  <c r="AK11" i="99"/>
  <c r="AI11" i="99"/>
  <c r="R13" i="102"/>
  <c r="Q13" i="102"/>
  <c r="AN22" i="99"/>
  <c r="S11" i="110"/>
  <c r="T11" i="110" s="1"/>
  <c r="V11" i="110" s="1"/>
  <c r="T19" i="85"/>
  <c r="V19" i="85" s="1"/>
  <c r="AK19" i="85" s="1"/>
  <c r="S12" i="85"/>
  <c r="T12" i="85" s="1"/>
  <c r="V12" i="85" s="1"/>
  <c r="W11" i="86"/>
  <c r="AK19" i="84"/>
  <c r="AL19" i="84" s="1"/>
  <c r="AJ22" i="99"/>
  <c r="W22" i="99"/>
  <c r="AJ21" i="80"/>
  <c r="AK45" i="84"/>
  <c r="AL45" i="84" s="1"/>
  <c r="AJ11" i="80"/>
  <c r="AI14" i="80"/>
  <c r="AK14" i="80"/>
  <c r="AM14" i="80"/>
  <c r="W14" i="80"/>
  <c r="AJ14" i="80"/>
  <c r="O9" i="103"/>
  <c r="P9" i="103" s="1"/>
  <c r="M25" i="103"/>
  <c r="AK51" i="102"/>
  <c r="AL51" i="102" s="1"/>
  <c r="AI51" i="102"/>
  <c r="W51" i="102"/>
  <c r="AK10" i="108"/>
  <c r="AL10" i="108" s="1"/>
  <c r="AM10" i="108" s="1"/>
  <c r="AP10" i="108"/>
  <c r="AI10" i="108"/>
  <c r="AN10" i="108"/>
  <c r="AK18" i="106"/>
  <c r="AL18" i="106" s="1"/>
  <c r="W18" i="106"/>
  <c r="AI18" i="106"/>
  <c r="AI22" i="101"/>
  <c r="W22" i="101"/>
  <c r="AK22" i="101"/>
  <c r="AL22" i="101" s="1"/>
  <c r="P10" i="84"/>
  <c r="O64" i="84"/>
  <c r="O67" i="84" s="1"/>
  <c r="M67" i="102"/>
  <c r="Q51" i="84"/>
  <c r="R51" i="84"/>
  <c r="AK31" i="108"/>
  <c r="AL31" i="108" s="1"/>
  <c r="AI31" i="108"/>
  <c r="W31" i="108"/>
  <c r="T16" i="81"/>
  <c r="V16" i="81" s="1"/>
  <c r="W16" i="81" s="1"/>
  <c r="W23" i="102"/>
  <c r="T18" i="85"/>
  <c r="V18" i="85" s="1"/>
  <c r="AK18" i="85" s="1"/>
  <c r="T24" i="108"/>
  <c r="V24" i="108" s="1"/>
  <c r="W24" i="108" s="1"/>
  <c r="S19" i="104"/>
  <c r="T19" i="104" s="1"/>
  <c r="V19" i="104" s="1"/>
  <c r="S13" i="84"/>
  <c r="T13" i="84" s="1"/>
  <c r="V13" i="84" s="1"/>
  <c r="S13" i="106"/>
  <c r="T13" i="106" s="1"/>
  <c r="V13" i="106" s="1"/>
  <c r="AK30" i="84"/>
  <c r="AL30" i="84" s="1"/>
  <c r="AM30" i="84" s="1"/>
  <c r="S9" i="108"/>
  <c r="T9" i="108" s="1"/>
  <c r="S15" i="85"/>
  <c r="T15" i="85" s="1"/>
  <c r="V15" i="85" s="1"/>
  <c r="W22" i="108"/>
  <c r="AK12" i="80"/>
  <c r="AN12" i="80" s="1"/>
  <c r="AI41" i="108"/>
  <c r="S13" i="110"/>
  <c r="T13" i="110" s="1"/>
  <c r="V13" i="110" s="1"/>
  <c r="AK21" i="85"/>
  <c r="AP21" i="85" s="1"/>
  <c r="AI11" i="86"/>
  <c r="S14" i="81"/>
  <c r="T14" i="81" s="1"/>
  <c r="V14" i="81" s="1"/>
  <c r="W14" i="81" s="1"/>
  <c r="S11" i="100"/>
  <c r="T11" i="100" s="1"/>
  <c r="V11" i="100" s="1"/>
  <c r="AI22" i="99"/>
  <c r="AM21" i="80"/>
  <c r="AK21" i="80"/>
  <c r="AI14" i="101"/>
  <c r="AI45" i="84"/>
  <c r="AI11" i="80"/>
  <c r="AK11" i="80"/>
  <c r="AI16" i="103"/>
  <c r="S21" i="86"/>
  <c r="T21" i="86" s="1"/>
  <c r="V21" i="86" s="1"/>
  <c r="AN13" i="99"/>
  <c r="W13" i="99" s="1"/>
  <c r="T17" i="81"/>
  <c r="V17" i="81" s="1"/>
  <c r="P25" i="80"/>
  <c r="S45" i="108"/>
  <c r="T45" i="108" s="1"/>
  <c r="V45" i="108" s="1"/>
  <c r="O15" i="101"/>
  <c r="M23" i="101"/>
  <c r="AI34" i="102"/>
  <c r="AK34" i="102"/>
  <c r="S29" i="102"/>
  <c r="T29" i="102" s="1"/>
  <c r="V29" i="102" s="1"/>
  <c r="S15" i="105"/>
  <c r="T15" i="105" s="1"/>
  <c r="V15" i="105" s="1"/>
  <c r="S23" i="103"/>
  <c r="T23" i="103" s="1"/>
  <c r="V23" i="103" s="1"/>
  <c r="AN20" i="99"/>
  <c r="T19" i="105"/>
  <c r="V19" i="105" s="1"/>
  <c r="AI19" i="105" s="1"/>
  <c r="AK46" i="108"/>
  <c r="AL46" i="108" s="1"/>
  <c r="W46" i="108"/>
  <c r="AI46" i="108"/>
  <c r="AK17" i="107"/>
  <c r="AL17" i="107" s="1"/>
  <c r="W17" i="107"/>
  <c r="AI17" i="107"/>
  <c r="AI13" i="101"/>
  <c r="W13" i="101"/>
  <c r="AK13" i="101"/>
  <c r="AL13" i="101" s="1"/>
  <c r="W22" i="85"/>
  <c r="AK22" i="85"/>
  <c r="AI22" i="85"/>
  <c r="Q25" i="105"/>
  <c r="R25" i="105"/>
  <c r="R9" i="109"/>
  <c r="R25" i="109" s="1"/>
  <c r="Q9" i="109"/>
  <c r="S32" i="84"/>
  <c r="T32" i="84" s="1"/>
  <c r="V32" i="84" s="1"/>
  <c r="O28" i="86"/>
  <c r="S18" i="108"/>
  <c r="T18" i="108" s="1"/>
  <c r="V18" i="108" s="1"/>
  <c r="S31" i="84"/>
  <c r="T31" i="84" s="1"/>
  <c r="V31" i="84" s="1"/>
  <c r="P13" i="105"/>
  <c r="S32" i="102"/>
  <c r="T32" i="102" s="1"/>
  <c r="V32" i="102" s="1"/>
  <c r="S10" i="107"/>
  <c r="T10" i="107" s="1"/>
  <c r="AQ24" i="103"/>
  <c r="T16" i="86"/>
  <c r="V16" i="86" s="1"/>
  <c r="W16" i="86" s="1"/>
  <c r="S20" i="84"/>
  <c r="T20" i="84" s="1"/>
  <c r="V20" i="84" s="1"/>
  <c r="T9" i="84"/>
  <c r="V9" i="84" s="1"/>
  <c r="P25" i="109"/>
  <c r="T18" i="81"/>
  <c r="V18" i="81" s="1"/>
  <c r="AI18" i="81" s="1"/>
  <c r="S21" i="101"/>
  <c r="T21" i="101" s="1"/>
  <c r="V21" i="101" s="1"/>
  <c r="S17" i="105"/>
  <c r="T17" i="105" s="1"/>
  <c r="V17" i="105" s="1"/>
  <c r="T17" i="84"/>
  <c r="V17" i="84" s="1"/>
  <c r="W17" i="84" s="1"/>
  <c r="S16" i="108"/>
  <c r="T16" i="108" s="1"/>
  <c r="V16" i="108" s="1"/>
  <c r="AK21" i="102"/>
  <c r="AI21" i="102"/>
  <c r="AI51" i="108"/>
  <c r="AK51" i="108"/>
  <c r="AL51" i="108" s="1"/>
  <c r="W51" i="108"/>
  <c r="T12" i="108"/>
  <c r="V12" i="108" s="1"/>
  <c r="T15" i="102"/>
  <c r="V15" i="102" s="1"/>
  <c r="AL10" i="101"/>
  <c r="AM10" i="101" s="1"/>
  <c r="AP10" i="101"/>
  <c r="S23" i="99"/>
  <c r="T23" i="99" s="1"/>
  <c r="V23" i="99" s="1"/>
  <c r="O20" i="108"/>
  <c r="O52" i="108" s="1"/>
  <c r="M65" i="108"/>
  <c r="M67" i="108" s="1"/>
  <c r="M52" i="108"/>
  <c r="S10" i="81"/>
  <c r="T10" i="81" s="1"/>
  <c r="V10" i="81" s="1"/>
  <c r="S17" i="86"/>
  <c r="T17" i="86" s="1"/>
  <c r="V17" i="86" s="1"/>
  <c r="AL16" i="102"/>
  <c r="AM16" i="102" s="1"/>
  <c r="AN16" i="102"/>
  <c r="AP16" i="102"/>
  <c r="AI21" i="104"/>
  <c r="AK21" i="104"/>
  <c r="AL21" i="104" s="1"/>
  <c r="W21" i="104"/>
  <c r="AL10" i="104"/>
  <c r="AM10" i="104" s="1"/>
  <c r="AP10" i="104"/>
  <c r="AN10" i="104"/>
  <c r="S36" i="102"/>
  <c r="T36" i="102" s="1"/>
  <c r="V36" i="102" s="1"/>
  <c r="AK15" i="107"/>
  <c r="AL15" i="107" s="1"/>
  <c r="AI15" i="84"/>
  <c r="AK15" i="84"/>
  <c r="AK16" i="86"/>
  <c r="AL16" i="86" s="1"/>
  <c r="AK24" i="102"/>
  <c r="AL24" i="102" s="1"/>
  <c r="AI24" i="102"/>
  <c r="W24" i="102"/>
  <c r="W38" i="102"/>
  <c r="AI38" i="102"/>
  <c r="AK38" i="102"/>
  <c r="AL38" i="102" s="1"/>
  <c r="AK48" i="84"/>
  <c r="AL48" i="84" s="1"/>
  <c r="W48" i="84"/>
  <c r="AI48" i="84"/>
  <c r="AM18" i="99"/>
  <c r="AK18" i="99"/>
  <c r="W18" i="99"/>
  <c r="AI18" i="99"/>
  <c r="AJ18" i="99"/>
  <c r="Q19" i="107"/>
  <c r="R19" i="107"/>
  <c r="P23" i="107"/>
  <c r="W24" i="84"/>
  <c r="AK24" i="84"/>
  <c r="AL24" i="84" s="1"/>
  <c r="AI24" i="84"/>
  <c r="AI28" i="84"/>
  <c r="AK28" i="84"/>
  <c r="W20" i="86"/>
  <c r="AK20" i="86"/>
  <c r="AL20" i="86" s="1"/>
  <c r="AI20" i="86"/>
  <c r="AK46" i="84"/>
  <c r="AL46" i="84" s="1"/>
  <c r="AI46" i="84"/>
  <c r="W46" i="84"/>
  <c r="AI20" i="102"/>
  <c r="AK20" i="102"/>
  <c r="W18" i="85"/>
  <c r="R20" i="110"/>
  <c r="R28" i="110" s="1"/>
  <c r="Q20" i="110"/>
  <c r="P28" i="110"/>
  <c r="W22" i="103"/>
  <c r="AK22" i="103"/>
  <c r="AI22" i="103"/>
  <c r="AK17" i="109"/>
  <c r="W17" i="109"/>
  <c r="AI17" i="109"/>
  <c r="AI16" i="110"/>
  <c r="AK16" i="110"/>
  <c r="AL16" i="110" s="1"/>
  <c r="W16" i="110"/>
  <c r="W35" i="84"/>
  <c r="AI35" i="84"/>
  <c r="AK35" i="84"/>
  <c r="AL35" i="84" s="1"/>
  <c r="AK17" i="84"/>
  <c r="AL17" i="84" s="1"/>
  <c r="AM17" i="84" s="1"/>
  <c r="AM19" i="105"/>
  <c r="AJ19" i="105"/>
  <c r="W19" i="105"/>
  <c r="AP24" i="109"/>
  <c r="AL24" i="109"/>
  <c r="AN24" i="109"/>
  <c r="V9" i="80"/>
  <c r="AL9" i="101"/>
  <c r="AM9" i="101" s="1"/>
  <c r="R64" i="108"/>
  <c r="AL43" i="108"/>
  <c r="AM43" i="108" s="1"/>
  <c r="AN43" i="108"/>
  <c r="AP43" i="108"/>
  <c r="AK50" i="102"/>
  <c r="AL50" i="102" s="1"/>
  <c r="W50" i="102"/>
  <c r="AI50" i="102"/>
  <c r="W17" i="85"/>
  <c r="AK17" i="85"/>
  <c r="AI17" i="85"/>
  <c r="K16" i="42"/>
  <c r="N10" i="42"/>
  <c r="N16" i="42" s="1"/>
  <c r="AL12" i="109"/>
  <c r="AN12" i="109"/>
  <c r="AP12" i="109"/>
  <c r="AL14" i="103"/>
  <c r="AN14" i="103"/>
  <c r="AP14" i="103"/>
  <c r="AN14" i="104"/>
  <c r="AP14" i="104"/>
  <c r="AP43" i="84"/>
  <c r="AN43" i="84"/>
  <c r="AL43" i="84"/>
  <c r="AM43" i="84" s="1"/>
  <c r="AN24" i="85"/>
  <c r="AP24" i="85"/>
  <c r="AL24" i="85"/>
  <c r="S36" i="84"/>
  <c r="T36" i="84" s="1"/>
  <c r="V36" i="84" s="1"/>
  <c r="P10" i="100"/>
  <c r="S18" i="80"/>
  <c r="T18" i="80" s="1"/>
  <c r="V18" i="80" s="1"/>
  <c r="P22" i="102"/>
  <c r="AN16" i="80"/>
  <c r="S35" i="102"/>
  <c r="T35" i="102" s="1"/>
  <c r="V35" i="102" s="1"/>
  <c r="P11" i="108"/>
  <c r="T21" i="109"/>
  <c r="V21" i="109" s="1"/>
  <c r="S15" i="104"/>
  <c r="T15" i="104" s="1"/>
  <c r="S47" i="108"/>
  <c r="T47" i="108" s="1"/>
  <c r="V47" i="108" s="1"/>
  <c r="S11" i="85"/>
  <c r="T11" i="85" s="1"/>
  <c r="V11" i="85" s="1"/>
  <c r="AN16" i="105"/>
  <c r="S19" i="102"/>
  <c r="S33" i="102"/>
  <c r="T33" i="102" s="1"/>
  <c r="V33" i="102" s="1"/>
  <c r="T13" i="80"/>
  <c r="V13" i="80" s="1"/>
  <c r="S12" i="103"/>
  <c r="T12" i="103" s="1"/>
  <c r="S21" i="107"/>
  <c r="T21" i="107" s="1"/>
  <c r="V21" i="107" s="1"/>
  <c r="O65" i="102"/>
  <c r="O67" i="102" s="1"/>
  <c r="S44" i="102"/>
  <c r="T44" i="102" s="1"/>
  <c r="V44" i="102" s="1"/>
  <c r="S23" i="110"/>
  <c r="T23" i="110" s="1"/>
  <c r="V23" i="110" s="1"/>
  <c r="S12" i="81"/>
  <c r="S10" i="85"/>
  <c r="T10" i="85" s="1"/>
  <c r="V10" i="85" s="1"/>
  <c r="S19" i="109"/>
  <c r="T19" i="109" s="1"/>
  <c r="V19" i="109" s="1"/>
  <c r="V10" i="99"/>
  <c r="V11" i="102"/>
  <c r="AK20" i="85"/>
  <c r="W20" i="85"/>
  <c r="W22" i="86"/>
  <c r="AI22" i="86"/>
  <c r="AK22" i="86"/>
  <c r="AL22" i="86" s="1"/>
  <c r="AI10" i="110"/>
  <c r="AK10" i="110"/>
  <c r="AP14" i="110"/>
  <c r="AL14" i="110"/>
  <c r="AN14" i="110"/>
  <c r="R14" i="85"/>
  <c r="Q14" i="85"/>
  <c r="AK21" i="84"/>
  <c r="AI21" i="84"/>
  <c r="AI16" i="85"/>
  <c r="AK16" i="85"/>
  <c r="W16" i="85"/>
  <c r="AI11" i="103"/>
  <c r="AK11" i="103"/>
  <c r="M25" i="85"/>
  <c r="O9" i="85"/>
  <c r="O25" i="85" s="1"/>
  <c r="R19" i="101"/>
  <c r="Q19" i="101"/>
  <c r="W27" i="99"/>
  <c r="AI27" i="99"/>
  <c r="AK27" i="99"/>
  <c r="AJ27" i="99"/>
  <c r="AM27" i="99"/>
  <c r="AK18" i="84"/>
  <c r="AL18" i="84" s="1"/>
  <c r="AI18" i="84"/>
  <c r="W18" i="84"/>
  <c r="AP34" i="108"/>
  <c r="AL34" i="108"/>
  <c r="AN34" i="108"/>
  <c r="AN20" i="103"/>
  <c r="AP20" i="103"/>
  <c r="AP14" i="108"/>
  <c r="AN14" i="108"/>
  <c r="AL14" i="108"/>
  <c r="AM14" i="108" s="1"/>
  <c r="AN14" i="84"/>
  <c r="AP14" i="84"/>
  <c r="AL14" i="84"/>
  <c r="AM14" i="84" s="1"/>
  <c r="AN28" i="102"/>
  <c r="AP28" i="102"/>
  <c r="AL28" i="102"/>
  <c r="Q65" i="84"/>
  <c r="R65" i="84"/>
  <c r="AQ15" i="109"/>
  <c r="T14" i="107"/>
  <c r="V14" i="107" s="1"/>
  <c r="AQ14" i="109"/>
  <c r="P19" i="103"/>
  <c r="T12" i="102"/>
  <c r="T10" i="103"/>
  <c r="V10" i="103" s="1"/>
  <c r="S14" i="106"/>
  <c r="T14" i="106" s="1"/>
  <c r="V14" i="106" s="1"/>
  <c r="AN20" i="80"/>
  <c r="R13" i="105"/>
  <c r="Q13" i="105"/>
  <c r="W26" i="99"/>
  <c r="AK26" i="99"/>
  <c r="AM26" i="99"/>
  <c r="AI26" i="99"/>
  <c r="AJ26" i="99"/>
  <c r="R19" i="86"/>
  <c r="R28" i="86" s="1"/>
  <c r="Q19" i="86"/>
  <c r="AJ10" i="105"/>
  <c r="AK10" i="105"/>
  <c r="AI10" i="105"/>
  <c r="AM10" i="105"/>
  <c r="AN12" i="84"/>
  <c r="AK12" i="84"/>
  <c r="AI12" i="84"/>
  <c r="AK15" i="103"/>
  <c r="W15" i="103"/>
  <c r="AI15" i="103"/>
  <c r="R14" i="99"/>
  <c r="Q14" i="99"/>
  <c r="P28" i="99"/>
  <c r="AI13" i="100"/>
  <c r="AK13" i="100"/>
  <c r="AL13" i="100" s="1"/>
  <c r="W13" i="100"/>
  <c r="W9" i="105"/>
  <c r="W25" i="84"/>
  <c r="AI25" i="84"/>
  <c r="AK25" i="84"/>
  <c r="AL25" i="84" s="1"/>
  <c r="W39" i="108"/>
  <c r="AK39" i="108"/>
  <c r="AL39" i="108" s="1"/>
  <c r="AI39" i="108"/>
  <c r="W16" i="109"/>
  <c r="AK16" i="109"/>
  <c r="AI16" i="109"/>
  <c r="AN22" i="109"/>
  <c r="AL22" i="109"/>
  <c r="AP22" i="109"/>
  <c r="AI28" i="108"/>
  <c r="AN21" i="85"/>
  <c r="P28" i="86"/>
  <c r="AN17" i="80"/>
  <c r="Q21" i="81"/>
  <c r="AN34" i="84"/>
  <c r="AP34" i="84"/>
  <c r="AL34" i="84"/>
  <c r="V12" i="101"/>
  <c r="AP29" i="108"/>
  <c r="AL29" i="108"/>
  <c r="AN29" i="108"/>
  <c r="AP13" i="109"/>
  <c r="AL13" i="109"/>
  <c r="AN13" i="109"/>
  <c r="AN23" i="109"/>
  <c r="AP23" i="109"/>
  <c r="AN9" i="104"/>
  <c r="AL9" i="104"/>
  <c r="AM9" i="104" s="1"/>
  <c r="AP9" i="104"/>
  <c r="AI22" i="84"/>
  <c r="W22" i="84"/>
  <c r="AK22" i="84"/>
  <c r="AL22" i="84" s="1"/>
  <c r="Q12" i="105"/>
  <c r="R12" i="105"/>
  <c r="P28" i="105"/>
  <c r="AI50" i="108"/>
  <c r="W50" i="108"/>
  <c r="AK50" i="108"/>
  <c r="AL50" i="108" s="1"/>
  <c r="AL21" i="108"/>
  <c r="AP21" i="108"/>
  <c r="AN21" i="108"/>
  <c r="Q64" i="108"/>
  <c r="AP13" i="103"/>
  <c r="AL13" i="103"/>
  <c r="AN13" i="103"/>
  <c r="AI16" i="84"/>
  <c r="Q18" i="104"/>
  <c r="Q28" i="104" s="1"/>
  <c r="R18" i="104"/>
  <c r="R28" i="104" s="1"/>
  <c r="AK18" i="101"/>
  <c r="AL18" i="101" s="1"/>
  <c r="W18" i="101"/>
  <c r="AI18" i="101"/>
  <c r="V14" i="102"/>
  <c r="K16" i="111"/>
  <c r="Q10" i="111"/>
  <c r="R25" i="102"/>
  <c r="Q25" i="102"/>
  <c r="AK23" i="104"/>
  <c r="AL23" i="104" s="1"/>
  <c r="W23" i="104"/>
  <c r="AI23" i="104"/>
  <c r="AK15" i="80"/>
  <c r="AM15" i="80"/>
  <c r="AJ15" i="80"/>
  <c r="AI15" i="80"/>
  <c r="AN9" i="107"/>
  <c r="AK9" i="107"/>
  <c r="AI9" i="107"/>
  <c r="AL16" i="103"/>
  <c r="AN16" i="103"/>
  <c r="AP16" i="103"/>
  <c r="Q28" i="110"/>
  <c r="AQ20" i="109"/>
  <c r="T9" i="86"/>
  <c r="AN14" i="105"/>
  <c r="S11" i="109"/>
  <c r="R21" i="81"/>
  <c r="S15" i="108"/>
  <c r="E27" i="174" l="1"/>
  <c r="E72" i="174" s="1"/>
  <c r="E75" i="174" s="1"/>
  <c r="D29" i="174"/>
  <c r="AK19" i="81"/>
  <c r="AL19" i="81" s="1"/>
  <c r="W19" i="81"/>
  <c r="AQ10" i="101"/>
  <c r="W10" i="101" s="1"/>
  <c r="AI26" i="104"/>
  <c r="W26" i="105"/>
  <c r="AJ26" i="105"/>
  <c r="AN22" i="80"/>
  <c r="AN18" i="109"/>
  <c r="AQ18" i="109" s="1"/>
  <c r="AM26" i="105"/>
  <c r="AK17" i="104"/>
  <c r="AL17" i="104" s="1"/>
  <c r="W17" i="104"/>
  <c r="AP17" i="103"/>
  <c r="R11" i="107"/>
  <c r="R23" i="107" s="1"/>
  <c r="AL17" i="103"/>
  <c r="W18" i="81"/>
  <c r="AK27" i="108"/>
  <c r="AL27" i="108" s="1"/>
  <c r="AI14" i="81"/>
  <c r="AK20" i="81"/>
  <c r="AL20" i="81" s="1"/>
  <c r="Q28" i="99"/>
  <c r="S64" i="108"/>
  <c r="AI20" i="81"/>
  <c r="S14" i="85"/>
  <c r="AI16" i="81"/>
  <c r="S15" i="99"/>
  <c r="T15" i="99" s="1"/>
  <c r="V15" i="99" s="1"/>
  <c r="AJ15" i="99" s="1"/>
  <c r="AL29" i="84"/>
  <c r="AN17" i="99"/>
  <c r="AN12" i="99"/>
  <c r="S19" i="108"/>
  <c r="T19" i="108" s="1"/>
  <c r="V19" i="108" s="1"/>
  <c r="AN26" i="80"/>
  <c r="AP29" i="84"/>
  <c r="AI9" i="110"/>
  <c r="S18" i="103"/>
  <c r="T18" i="103" s="1"/>
  <c r="V18" i="103" s="1"/>
  <c r="AK18" i="103" s="1"/>
  <c r="AK9" i="100"/>
  <c r="AI19" i="106"/>
  <c r="W19" i="106"/>
  <c r="AK22" i="105"/>
  <c r="AJ22" i="105"/>
  <c r="AI30" i="108"/>
  <c r="AK30" i="108"/>
  <c r="AL30" i="108" s="1"/>
  <c r="AM30" i="108" s="1"/>
  <c r="W30" i="108"/>
  <c r="AK17" i="100"/>
  <c r="AL17" i="100" s="1"/>
  <c r="W23" i="85"/>
  <c r="W13" i="108"/>
  <c r="AI16" i="106"/>
  <c r="AP21" i="103"/>
  <c r="AQ34" i="108"/>
  <c r="W34" i="108" s="1"/>
  <c r="S20" i="110"/>
  <c r="S28" i="110" s="1"/>
  <c r="S19" i="107"/>
  <c r="T19" i="107" s="1"/>
  <c r="V19" i="107" s="1"/>
  <c r="AK19" i="107" s="1"/>
  <c r="AL19" i="107" s="1"/>
  <c r="S9" i="109"/>
  <c r="S25" i="109" s="1"/>
  <c r="W16" i="106"/>
  <c r="R11" i="106"/>
  <c r="R21" i="106" s="1"/>
  <c r="AI17" i="100"/>
  <c r="AN11" i="80"/>
  <c r="AQ9" i="101"/>
  <c r="W9" i="101" s="1"/>
  <c r="W23" i="108"/>
  <c r="AK23" i="108"/>
  <c r="AL23" i="108" s="1"/>
  <c r="W15" i="110"/>
  <c r="AI15" i="110"/>
  <c r="AK15" i="110"/>
  <c r="AL15" i="110" s="1"/>
  <c r="AI13" i="81"/>
  <c r="AK13" i="81"/>
  <c r="AL13" i="81" s="1"/>
  <c r="W13" i="81"/>
  <c r="W31" i="102"/>
  <c r="AK31" i="102"/>
  <c r="AL31" i="102" s="1"/>
  <c r="AI31" i="102"/>
  <c r="AK11" i="81"/>
  <c r="AL11" i="81" s="1"/>
  <c r="W11" i="81"/>
  <c r="AK10" i="109"/>
  <c r="W15" i="107"/>
  <c r="Q9" i="102"/>
  <c r="Q64" i="102" s="1"/>
  <c r="AI18" i="107"/>
  <c r="AI9" i="100"/>
  <c r="AK19" i="106"/>
  <c r="AL19" i="106" s="1"/>
  <c r="W22" i="105"/>
  <c r="AM27" i="105"/>
  <c r="AI27" i="105"/>
  <c r="AK27" i="105"/>
  <c r="AJ27" i="105"/>
  <c r="W27" i="105"/>
  <c r="S9" i="106"/>
  <c r="T9" i="106" s="1"/>
  <c r="V9" i="106" s="1"/>
  <c r="AI19" i="81"/>
  <c r="AL21" i="85"/>
  <c r="S11" i="84"/>
  <c r="T11" i="84" s="1"/>
  <c r="AQ24" i="85"/>
  <c r="AK18" i="81"/>
  <c r="AL18" i="81" s="1"/>
  <c r="AI22" i="105"/>
  <c r="AM22" i="105"/>
  <c r="P21" i="106"/>
  <c r="Q28" i="105"/>
  <c r="Q25" i="109"/>
  <c r="AQ17" i="103"/>
  <c r="AI17" i="84"/>
  <c r="AI32" i="108"/>
  <c r="AK24" i="108"/>
  <c r="AL24" i="108" s="1"/>
  <c r="W19" i="85"/>
  <c r="AI27" i="108"/>
  <c r="AL43" i="102"/>
  <c r="AM43" i="102" s="1"/>
  <c r="S66" i="102"/>
  <c r="R28" i="99"/>
  <c r="Q28" i="86"/>
  <c r="AK19" i="105"/>
  <c r="AN19" i="105" s="1"/>
  <c r="AI17" i="104"/>
  <c r="O25" i="103"/>
  <c r="R9" i="102"/>
  <c r="R64" i="102" s="1"/>
  <c r="AN23" i="105"/>
  <c r="AK27" i="110"/>
  <c r="AL27" i="110" s="1"/>
  <c r="AI27" i="110"/>
  <c r="W27" i="110"/>
  <c r="AK11" i="100"/>
  <c r="AL11" i="100" s="1"/>
  <c r="AI11" i="100"/>
  <c r="W12" i="107"/>
  <c r="AK12" i="107"/>
  <c r="AL12" i="107" s="1"/>
  <c r="AI12" i="107"/>
  <c r="AI22" i="110"/>
  <c r="AK22" i="110"/>
  <c r="AL22" i="110" s="1"/>
  <c r="W22" i="110"/>
  <c r="AQ21" i="108"/>
  <c r="W21" i="108" s="1"/>
  <c r="AN21" i="80"/>
  <c r="AQ10" i="108"/>
  <c r="W10" i="108" s="1"/>
  <c r="AN18" i="99"/>
  <c r="AQ10" i="104"/>
  <c r="W10" i="104" s="1"/>
  <c r="AL13" i="85"/>
  <c r="AP13" i="85"/>
  <c r="AN13" i="85"/>
  <c r="AN26" i="105"/>
  <c r="S25" i="102"/>
  <c r="T25" i="102" s="1"/>
  <c r="V25" i="102" s="1"/>
  <c r="AQ43" i="84"/>
  <c r="W43" i="84" s="1"/>
  <c r="AQ10" i="102"/>
  <c r="W10" i="102" s="1"/>
  <c r="AN10" i="81"/>
  <c r="AK10" i="81"/>
  <c r="AI10" i="81"/>
  <c r="W17" i="105"/>
  <c r="AK17" i="105"/>
  <c r="AI17" i="105"/>
  <c r="AJ17" i="105"/>
  <c r="AM17" i="105"/>
  <c r="AI19" i="104"/>
  <c r="W19" i="104"/>
  <c r="AK19" i="104"/>
  <c r="AL19" i="104" s="1"/>
  <c r="Q9" i="103"/>
  <c r="R9" i="103"/>
  <c r="AI31" i="84"/>
  <c r="AK31" i="84"/>
  <c r="AL31" i="84" s="1"/>
  <c r="W31" i="84"/>
  <c r="W23" i="103"/>
  <c r="AK23" i="103"/>
  <c r="AI18" i="108"/>
  <c r="AK18" i="108"/>
  <c r="AL18" i="108" s="1"/>
  <c r="W18" i="108"/>
  <c r="T64" i="108"/>
  <c r="V9" i="108"/>
  <c r="V64" i="108" s="1"/>
  <c r="AK12" i="85"/>
  <c r="AL12" i="85" s="1"/>
  <c r="AI12" i="85"/>
  <c r="W12" i="85"/>
  <c r="W11" i="101"/>
  <c r="AI11" i="101"/>
  <c r="AK11" i="101"/>
  <c r="AL11" i="101" s="1"/>
  <c r="AM23" i="99"/>
  <c r="AK23" i="99"/>
  <c r="AJ23" i="99"/>
  <c r="AI23" i="99"/>
  <c r="W23" i="99"/>
  <c r="AL22" i="85"/>
  <c r="AN22" i="85"/>
  <c r="AP22" i="85"/>
  <c r="AK45" i="108"/>
  <c r="AL45" i="108" s="1"/>
  <c r="W45" i="108"/>
  <c r="AI45" i="108"/>
  <c r="S65" i="84"/>
  <c r="AQ23" i="109"/>
  <c r="AQ34" i="84"/>
  <c r="W34" i="84" s="1"/>
  <c r="AI11" i="81"/>
  <c r="AN43" i="102"/>
  <c r="AQ43" i="102" s="1"/>
  <c r="W43" i="102" s="1"/>
  <c r="AN21" i="103"/>
  <c r="AN26" i="99"/>
  <c r="S13" i="105"/>
  <c r="T13" i="105" s="1"/>
  <c r="V13" i="105" s="1"/>
  <c r="AQ28" i="102"/>
  <c r="W28" i="102" s="1"/>
  <c r="P9" i="85"/>
  <c r="P25" i="85" s="1"/>
  <c r="T14" i="85"/>
  <c r="V14" i="85" s="1"/>
  <c r="W14" i="85" s="1"/>
  <c r="AQ24" i="109"/>
  <c r="W11" i="100"/>
  <c r="AI24" i="108"/>
  <c r="AK14" i="81"/>
  <c r="AL14" i="81" s="1"/>
  <c r="AK32" i="84"/>
  <c r="AI32" i="84"/>
  <c r="S25" i="105"/>
  <c r="T25" i="105" s="1"/>
  <c r="V25" i="105" s="1"/>
  <c r="AI29" i="102"/>
  <c r="AK29" i="102"/>
  <c r="R25" i="80"/>
  <c r="R28" i="80" s="1"/>
  <c r="Q25" i="80"/>
  <c r="P28" i="80"/>
  <c r="S51" i="84"/>
  <c r="T51" i="84" s="1"/>
  <c r="V51" i="84" s="1"/>
  <c r="AN11" i="99"/>
  <c r="W18" i="102"/>
  <c r="AI18" i="102"/>
  <c r="AK18" i="102"/>
  <c r="AL18" i="102" s="1"/>
  <c r="AQ13" i="103"/>
  <c r="R28" i="105"/>
  <c r="AQ29" i="108"/>
  <c r="W29" i="108" s="1"/>
  <c r="T66" i="102"/>
  <c r="S21" i="81"/>
  <c r="AI23" i="108"/>
  <c r="AK16" i="81"/>
  <c r="AL16" i="81" s="1"/>
  <c r="AI16" i="86"/>
  <c r="W36" i="102"/>
  <c r="AK36" i="102"/>
  <c r="AL36" i="102" s="1"/>
  <c r="AI36" i="102"/>
  <c r="W37" i="84"/>
  <c r="AI37" i="84"/>
  <c r="AK37" i="84"/>
  <c r="AL37" i="84" s="1"/>
  <c r="P20" i="108"/>
  <c r="P52" i="108" s="1"/>
  <c r="O65" i="108"/>
  <c r="O67" i="108" s="1"/>
  <c r="AK15" i="102"/>
  <c r="AI15" i="102"/>
  <c r="W27" i="102"/>
  <c r="AI27" i="102"/>
  <c r="AK27" i="102"/>
  <c r="AL27" i="102" s="1"/>
  <c r="AI48" i="108"/>
  <c r="AK48" i="108"/>
  <c r="AL48" i="108" s="1"/>
  <c r="W48" i="108"/>
  <c r="P15" i="101"/>
  <c r="O23" i="101"/>
  <c r="W17" i="81"/>
  <c r="AI17" i="81"/>
  <c r="AK17" i="81"/>
  <c r="AL17" i="81" s="1"/>
  <c r="R10" i="84"/>
  <c r="Q10" i="84"/>
  <c r="P64" i="84"/>
  <c r="P67" i="84" s="1"/>
  <c r="P52" i="84"/>
  <c r="AN9" i="110"/>
  <c r="AP9" i="110"/>
  <c r="AL9" i="110"/>
  <c r="AM9" i="110" s="1"/>
  <c r="AN11" i="105"/>
  <c r="AN12" i="108"/>
  <c r="AK12" i="108"/>
  <c r="AI12" i="108"/>
  <c r="AI17" i="86"/>
  <c r="W17" i="86"/>
  <c r="AK17" i="86"/>
  <c r="AL17" i="86" s="1"/>
  <c r="AL34" i="102"/>
  <c r="AN34" i="102"/>
  <c r="AP34" i="102"/>
  <c r="AI26" i="86"/>
  <c r="AK26" i="86"/>
  <c r="AL26" i="86" s="1"/>
  <c r="W26" i="86"/>
  <c r="AQ14" i="104"/>
  <c r="W14" i="104" s="1"/>
  <c r="AQ16" i="102"/>
  <c r="W16" i="102" s="1"/>
  <c r="AP21" i="102"/>
  <c r="AN21" i="102"/>
  <c r="AL21" i="102"/>
  <c r="AK15" i="105"/>
  <c r="AJ15" i="105"/>
  <c r="AM15" i="105"/>
  <c r="AI15" i="105"/>
  <c r="AK15" i="86"/>
  <c r="AL15" i="86" s="1"/>
  <c r="W15" i="86"/>
  <c r="AI15" i="86"/>
  <c r="AN14" i="80"/>
  <c r="S13" i="102"/>
  <c r="T13" i="102" s="1"/>
  <c r="V13" i="102" s="1"/>
  <c r="AP9" i="100"/>
  <c r="AQ9" i="100" s="1"/>
  <c r="W9" i="100" s="1"/>
  <c r="AL9" i="100"/>
  <c r="AM9" i="100" s="1"/>
  <c r="W21" i="107"/>
  <c r="AK21" i="107"/>
  <c r="AL21" i="107" s="1"/>
  <c r="AI21" i="107"/>
  <c r="AK35" i="102"/>
  <c r="AL35" i="102" s="1"/>
  <c r="W35" i="102"/>
  <c r="AI35" i="102"/>
  <c r="AK33" i="102"/>
  <c r="AL33" i="102" s="1"/>
  <c r="AI33" i="102"/>
  <c r="W33" i="102"/>
  <c r="AI47" i="108"/>
  <c r="W47" i="108"/>
  <c r="AK47" i="108"/>
  <c r="AL47" i="108" s="1"/>
  <c r="AI10" i="85"/>
  <c r="AK10" i="85"/>
  <c r="AK18" i="80"/>
  <c r="AI18" i="80"/>
  <c r="AM18" i="80"/>
  <c r="AJ18" i="80"/>
  <c r="W18" i="80"/>
  <c r="W23" i="110"/>
  <c r="AI23" i="110"/>
  <c r="AK23" i="110"/>
  <c r="AL23" i="110" s="1"/>
  <c r="AI10" i="86"/>
  <c r="AK10" i="86"/>
  <c r="AK36" i="84"/>
  <c r="AL36" i="84" s="1"/>
  <c r="AI36" i="84"/>
  <c r="W36" i="84"/>
  <c r="W19" i="109"/>
  <c r="AK19" i="109"/>
  <c r="V12" i="103"/>
  <c r="AP16" i="109"/>
  <c r="AN16" i="109"/>
  <c r="AL16" i="109"/>
  <c r="AK20" i="84"/>
  <c r="AI20" i="84"/>
  <c r="AK24" i="80"/>
  <c r="AJ24" i="80"/>
  <c r="W24" i="80"/>
  <c r="AM24" i="80"/>
  <c r="AI24" i="80"/>
  <c r="AN11" i="103"/>
  <c r="AP11" i="103"/>
  <c r="AL11" i="103"/>
  <c r="AP11" i="102"/>
  <c r="AN11" i="102"/>
  <c r="V66" i="102"/>
  <c r="AK11" i="102"/>
  <c r="AL11" i="102" s="1"/>
  <c r="AM11" i="102" s="1"/>
  <c r="AI11" i="102"/>
  <c r="AI14" i="102"/>
  <c r="AK14" i="102"/>
  <c r="AI21" i="109"/>
  <c r="AK21" i="109"/>
  <c r="W21" i="109"/>
  <c r="AK14" i="106"/>
  <c r="AL14" i="106" s="1"/>
  <c r="W14" i="106"/>
  <c r="AI14" i="106"/>
  <c r="AI44" i="102"/>
  <c r="W44" i="102"/>
  <c r="AK44" i="102"/>
  <c r="AL44" i="102" s="1"/>
  <c r="AN20" i="102"/>
  <c r="AL20" i="102"/>
  <c r="AM20" i="102" s="1"/>
  <c r="AP20" i="102"/>
  <c r="AP28" i="84"/>
  <c r="AN28" i="84"/>
  <c r="AL28" i="84"/>
  <c r="AP15" i="84"/>
  <c r="AN15" i="84"/>
  <c r="AL15" i="84"/>
  <c r="AP9" i="107"/>
  <c r="AQ9" i="107" s="1"/>
  <c r="W9" i="107" s="1"/>
  <c r="AL9" i="107"/>
  <c r="AM9" i="107" s="1"/>
  <c r="AP28" i="108"/>
  <c r="AL28" i="108"/>
  <c r="AN28" i="108"/>
  <c r="AK21" i="101"/>
  <c r="AL21" i="101" s="1"/>
  <c r="W21" i="101"/>
  <c r="AI21" i="101"/>
  <c r="AI10" i="103"/>
  <c r="AK10" i="103"/>
  <c r="V12" i="102"/>
  <c r="AK14" i="107"/>
  <c r="AL14" i="107" s="1"/>
  <c r="W14" i="107"/>
  <c r="AI14" i="107"/>
  <c r="AI32" i="102"/>
  <c r="AK32" i="102"/>
  <c r="AN16" i="85"/>
  <c r="AL16" i="85"/>
  <c r="AP16" i="85"/>
  <c r="AP10" i="110"/>
  <c r="AL10" i="110"/>
  <c r="AM10" i="110" s="1"/>
  <c r="AN10" i="110"/>
  <c r="W21" i="86"/>
  <c r="AI21" i="86"/>
  <c r="AK21" i="86"/>
  <c r="AL21" i="86" s="1"/>
  <c r="V9" i="81"/>
  <c r="AK13" i="80"/>
  <c r="AM13" i="80"/>
  <c r="AJ13" i="80"/>
  <c r="AI13" i="80"/>
  <c r="AI14" i="86"/>
  <c r="AK14" i="86"/>
  <c r="AI16" i="108"/>
  <c r="AK16" i="108"/>
  <c r="AI9" i="108"/>
  <c r="AQ14" i="108"/>
  <c r="W14" i="108" s="1"/>
  <c r="S19" i="101"/>
  <c r="T19" i="101" s="1"/>
  <c r="T65" i="84"/>
  <c r="Q23" i="107"/>
  <c r="AQ16" i="103"/>
  <c r="AN15" i="80"/>
  <c r="W15" i="80" s="1"/>
  <c r="S11" i="107"/>
  <c r="AQ9" i="104"/>
  <c r="W9" i="104" s="1"/>
  <c r="AQ22" i="109"/>
  <c r="AN10" i="105"/>
  <c r="AQ20" i="103"/>
  <c r="AN27" i="99"/>
  <c r="AQ14" i="110"/>
  <c r="W14" i="110" s="1"/>
  <c r="AQ12" i="109"/>
  <c r="AQ43" i="108"/>
  <c r="W43" i="108" s="1"/>
  <c r="AN17" i="105"/>
  <c r="T12" i="81"/>
  <c r="V12" i="81" s="1"/>
  <c r="AP16" i="84"/>
  <c r="AN16" i="84"/>
  <c r="AL16" i="84"/>
  <c r="AM16" i="84" s="1"/>
  <c r="AP12" i="85"/>
  <c r="AI13" i="110"/>
  <c r="AK13" i="110"/>
  <c r="AL13" i="110" s="1"/>
  <c r="W13" i="110"/>
  <c r="V15" i="104"/>
  <c r="AK20" i="106"/>
  <c r="AL20" i="106" s="1"/>
  <c r="AI20" i="106"/>
  <c r="W20" i="106"/>
  <c r="AP12" i="84"/>
  <c r="AQ12" i="84" s="1"/>
  <c r="W12" i="84" s="1"/>
  <c r="AL12" i="84"/>
  <c r="AM12" i="84" s="1"/>
  <c r="Q19" i="103"/>
  <c r="R19" i="103"/>
  <c r="P25" i="103"/>
  <c r="S66" i="84"/>
  <c r="AP20" i="85"/>
  <c r="AN20" i="85"/>
  <c r="AI15" i="85"/>
  <c r="W15" i="85"/>
  <c r="AK15" i="85"/>
  <c r="R10" i="100"/>
  <c r="R21" i="100" s="1"/>
  <c r="P21" i="100"/>
  <c r="Q10" i="100"/>
  <c r="Q21" i="100" s="1"/>
  <c r="AK9" i="80"/>
  <c r="AJ9" i="80"/>
  <c r="AI9" i="80"/>
  <c r="AM9" i="80"/>
  <c r="V9" i="86"/>
  <c r="Q16" i="111"/>
  <c r="W10" i="111"/>
  <c r="W16" i="111" s="1"/>
  <c r="AN9" i="84"/>
  <c r="AK9" i="84"/>
  <c r="AL9" i="84" s="1"/>
  <c r="AM9" i="84" s="1"/>
  <c r="AI9" i="84"/>
  <c r="AP9" i="84"/>
  <c r="AN15" i="103"/>
  <c r="AP15" i="103"/>
  <c r="AL15" i="103"/>
  <c r="AP21" i="84"/>
  <c r="AN21" i="84"/>
  <c r="AL21" i="84"/>
  <c r="AK10" i="99"/>
  <c r="AM10" i="99"/>
  <c r="AJ10" i="99"/>
  <c r="AI10" i="99"/>
  <c r="AM21" i="105"/>
  <c r="W21" i="105"/>
  <c r="AK21" i="105"/>
  <c r="AJ21" i="105"/>
  <c r="AI21" i="105"/>
  <c r="W25" i="108"/>
  <c r="AI25" i="108"/>
  <c r="AK25" i="108"/>
  <c r="AL25" i="108" s="1"/>
  <c r="R22" i="102"/>
  <c r="Q22" i="102"/>
  <c r="P65" i="102"/>
  <c r="P67" i="102" s="1"/>
  <c r="P52" i="102"/>
  <c r="AP32" i="108"/>
  <c r="AL32" i="108"/>
  <c r="AN32" i="108"/>
  <c r="AP18" i="85"/>
  <c r="AN18" i="85"/>
  <c r="AP23" i="85"/>
  <c r="AN23" i="85"/>
  <c r="AQ23" i="85" s="1"/>
  <c r="AN19" i="85"/>
  <c r="AP19" i="85"/>
  <c r="S19" i="86"/>
  <c r="S28" i="86" s="1"/>
  <c r="Q21" i="106"/>
  <c r="S18" i="104"/>
  <c r="T18" i="104" s="1"/>
  <c r="V18" i="104" s="1"/>
  <c r="S12" i="105"/>
  <c r="AQ13" i="109"/>
  <c r="AQ21" i="85"/>
  <c r="S14" i="99"/>
  <c r="T15" i="108"/>
  <c r="AQ14" i="84"/>
  <c r="W14" i="84" s="1"/>
  <c r="AQ14" i="103"/>
  <c r="AQ29" i="84"/>
  <c r="W29" i="84" s="1"/>
  <c r="T11" i="109"/>
  <c r="W12" i="101"/>
  <c r="AI12" i="101"/>
  <c r="AK12" i="101"/>
  <c r="AL12" i="101" s="1"/>
  <c r="W13" i="106"/>
  <c r="AI13" i="106"/>
  <c r="AK13" i="106"/>
  <c r="AL13" i="106" s="1"/>
  <c r="R11" i="108"/>
  <c r="Q11" i="108"/>
  <c r="P66" i="108"/>
  <c r="AN17" i="85"/>
  <c r="AP17" i="85"/>
  <c r="AL17" i="85"/>
  <c r="AK11" i="85"/>
  <c r="AI11" i="85"/>
  <c r="AP17" i="109"/>
  <c r="AL17" i="109"/>
  <c r="AN17" i="109"/>
  <c r="AN10" i="106"/>
  <c r="AI10" i="106"/>
  <c r="AK10" i="106"/>
  <c r="AP22" i="103"/>
  <c r="AL22" i="103"/>
  <c r="AN22" i="103"/>
  <c r="V10" i="107"/>
  <c r="AI11" i="110"/>
  <c r="AK11" i="110"/>
  <c r="AL11" i="110" s="1"/>
  <c r="W11" i="110"/>
  <c r="W13" i="84"/>
  <c r="V65" i="84"/>
  <c r="AI13" i="84"/>
  <c r="AK13" i="84"/>
  <c r="AL13" i="84" s="1"/>
  <c r="T19" i="102"/>
  <c r="D27" i="174" l="1"/>
  <c r="D72" i="174" s="1"/>
  <c r="D75" i="174" s="1"/>
  <c r="M41" i="519"/>
  <c r="M39" i="519" s="1"/>
  <c r="N41" i="519"/>
  <c r="N39" i="519" s="1"/>
  <c r="AI15" i="99"/>
  <c r="AM15" i="99"/>
  <c r="S19" i="103"/>
  <c r="AQ21" i="103"/>
  <c r="AK15" i="99"/>
  <c r="AK9" i="108"/>
  <c r="AL9" i="108" s="1"/>
  <c r="AM9" i="108" s="1"/>
  <c r="S28" i="105"/>
  <c r="T9" i="109"/>
  <c r="V9" i="109" s="1"/>
  <c r="AI9" i="109" s="1"/>
  <c r="AP9" i="108"/>
  <c r="N99" i="519"/>
  <c r="N66" i="519" s="1"/>
  <c r="Q25" i="103"/>
  <c r="Q9" i="85"/>
  <c r="Q25" i="85" s="1"/>
  <c r="AI19" i="107"/>
  <c r="W18" i="103"/>
  <c r="AN27" i="105"/>
  <c r="S23" i="107"/>
  <c r="R9" i="85"/>
  <c r="R25" i="85" s="1"/>
  <c r="W19" i="107"/>
  <c r="AQ13" i="85"/>
  <c r="AN22" i="105"/>
  <c r="AN24" i="80"/>
  <c r="AQ16" i="109"/>
  <c r="AN10" i="99"/>
  <c r="S11" i="106"/>
  <c r="S21" i="106" s="1"/>
  <c r="T20" i="110"/>
  <c r="AK9" i="106"/>
  <c r="AI9" i="106"/>
  <c r="AN9" i="106"/>
  <c r="AI25" i="102"/>
  <c r="AK25" i="102"/>
  <c r="AL25" i="102" s="1"/>
  <c r="AQ9" i="110"/>
  <c r="W9" i="110" s="1"/>
  <c r="AK19" i="108"/>
  <c r="AL19" i="108" s="1"/>
  <c r="AI19" i="108"/>
  <c r="W19" i="108"/>
  <c r="AP10" i="109"/>
  <c r="AN10" i="109"/>
  <c r="AQ22" i="103"/>
  <c r="AQ16" i="85"/>
  <c r="AL10" i="109"/>
  <c r="AM10" i="109" s="1"/>
  <c r="AQ17" i="85"/>
  <c r="S22" i="102"/>
  <c r="T22" i="102" s="1"/>
  <c r="AN9" i="108"/>
  <c r="AQ9" i="108" s="1"/>
  <c r="W9" i="108" s="1"/>
  <c r="S9" i="102"/>
  <c r="S64" i="102" s="1"/>
  <c r="AQ28" i="84"/>
  <c r="W28" i="84" s="1"/>
  <c r="AN18" i="80"/>
  <c r="AN23" i="99"/>
  <c r="AN15" i="99"/>
  <c r="W15" i="99" s="1"/>
  <c r="AQ21" i="84"/>
  <c r="W21" i="84" s="1"/>
  <c r="T21" i="81"/>
  <c r="T9" i="102"/>
  <c r="W13" i="102"/>
  <c r="AI13" i="102"/>
  <c r="AK13" i="102"/>
  <c r="AL13" i="102" s="1"/>
  <c r="AI13" i="105"/>
  <c r="AM13" i="105"/>
  <c r="AJ13" i="105"/>
  <c r="AK13" i="105"/>
  <c r="AQ32" i="108"/>
  <c r="W32" i="108" s="1"/>
  <c r="T19" i="86"/>
  <c r="W25" i="102"/>
  <c r="AK14" i="85"/>
  <c r="AP14" i="85" s="1"/>
  <c r="Q64" i="84"/>
  <c r="Q67" i="84" s="1"/>
  <c r="Q52" i="84"/>
  <c r="AN32" i="84"/>
  <c r="AP32" i="84"/>
  <c r="AL32" i="84"/>
  <c r="W51" i="84"/>
  <c r="AI51" i="84"/>
  <c r="AK51" i="84"/>
  <c r="AL51" i="84" s="1"/>
  <c r="AP23" i="103"/>
  <c r="AN23" i="103"/>
  <c r="S11" i="108"/>
  <c r="T11" i="108" s="1"/>
  <c r="AQ19" i="85"/>
  <c r="AQ15" i="103"/>
  <c r="T19" i="103"/>
  <c r="V19" i="103" s="1"/>
  <c r="AK19" i="103" s="1"/>
  <c r="AN12" i="85"/>
  <c r="AQ12" i="85" s="1"/>
  <c r="AQ11" i="102"/>
  <c r="W11" i="102" s="1"/>
  <c r="W66" i="102" s="1"/>
  <c r="X66" i="102" s="1"/>
  <c r="AI14" i="85"/>
  <c r="AN15" i="105"/>
  <c r="W15" i="105" s="1"/>
  <c r="AQ34" i="102"/>
  <c r="W34" i="102" s="1"/>
  <c r="S10" i="84"/>
  <c r="T10" i="84" s="1"/>
  <c r="T52" i="84" s="1"/>
  <c r="R64" i="84"/>
  <c r="R67" i="84" s="1"/>
  <c r="R52" i="84"/>
  <c r="AN15" i="102"/>
  <c r="AP15" i="102"/>
  <c r="AL15" i="102"/>
  <c r="AQ22" i="85"/>
  <c r="S9" i="103"/>
  <c r="T9" i="103" s="1"/>
  <c r="Q15" i="101"/>
  <c r="Q23" i="101" s="1"/>
  <c r="R15" i="101"/>
  <c r="R23" i="101" s="1"/>
  <c r="P23" i="101"/>
  <c r="AN18" i="103"/>
  <c r="AP18" i="103"/>
  <c r="W25" i="105"/>
  <c r="AM25" i="105"/>
  <c r="AJ25" i="105"/>
  <c r="AK25" i="105"/>
  <c r="AI25" i="105"/>
  <c r="R25" i="103"/>
  <c r="AQ11" i="103"/>
  <c r="W11" i="103" s="1"/>
  <c r="AQ21" i="102"/>
  <c r="W21" i="102" s="1"/>
  <c r="AL12" i="108"/>
  <c r="AM12" i="108" s="1"/>
  <c r="AP12" i="108"/>
  <c r="AQ12" i="108" s="1"/>
  <c r="W12" i="108" s="1"/>
  <c r="Q20" i="108"/>
  <c r="Q65" i="108" s="1"/>
  <c r="R20" i="108"/>
  <c r="R65" i="108" s="1"/>
  <c r="P65" i="108"/>
  <c r="P67" i="108" s="1"/>
  <c r="S25" i="80"/>
  <c r="Q28" i="80"/>
  <c r="AP29" i="102"/>
  <c r="AN29" i="102"/>
  <c r="AL29" i="102"/>
  <c r="AP10" i="81"/>
  <c r="AQ10" i="81" s="1"/>
  <c r="W10" i="81" s="1"/>
  <c r="AL10" i="81"/>
  <c r="AM10" i="81" s="1"/>
  <c r="AL10" i="106"/>
  <c r="AM10" i="106" s="1"/>
  <c r="AP10" i="106"/>
  <c r="AQ10" i="106" s="1"/>
  <c r="W10" i="106" s="1"/>
  <c r="T14" i="99"/>
  <c r="S28" i="99"/>
  <c r="W10" i="99"/>
  <c r="AK9" i="86"/>
  <c r="AI9" i="86"/>
  <c r="V19" i="101"/>
  <c r="AN10" i="85"/>
  <c r="AP10" i="85"/>
  <c r="AL10" i="85"/>
  <c r="AM10" i="85" s="1"/>
  <c r="V19" i="102"/>
  <c r="AI10" i="107"/>
  <c r="AN10" i="107"/>
  <c r="AK10" i="107"/>
  <c r="R66" i="108"/>
  <c r="R67" i="108" s="1"/>
  <c r="R52" i="108"/>
  <c r="V11" i="109"/>
  <c r="Q52" i="102"/>
  <c r="Q65" i="102"/>
  <c r="Q67" i="102" s="1"/>
  <c r="AI15" i="104"/>
  <c r="W15" i="104"/>
  <c r="AK15" i="104"/>
  <c r="AL15" i="104" s="1"/>
  <c r="V28" i="104"/>
  <c r="I33" i="104" s="1"/>
  <c r="K33" i="104" s="1"/>
  <c r="AI12" i="81"/>
  <c r="W12" i="81"/>
  <c r="AK12" i="81"/>
  <c r="AL12" i="81" s="1"/>
  <c r="AN9" i="81"/>
  <c r="AK9" i="81"/>
  <c r="AI9" i="81"/>
  <c r="V21" i="81"/>
  <c r="AK12" i="102"/>
  <c r="AI12" i="102"/>
  <c r="AN12" i="102"/>
  <c r="AN21" i="109"/>
  <c r="AL21" i="109"/>
  <c r="AP21" i="109"/>
  <c r="AP14" i="102"/>
  <c r="AL14" i="102"/>
  <c r="AM14" i="102" s="1"/>
  <c r="AN14" i="102"/>
  <c r="AN20" i="84"/>
  <c r="AP20" i="84"/>
  <c r="AL20" i="84"/>
  <c r="AM20" i="84" s="1"/>
  <c r="AN19" i="109"/>
  <c r="AP19" i="109"/>
  <c r="AQ17" i="109"/>
  <c r="AQ20" i="85"/>
  <c r="AQ16" i="84"/>
  <c r="W16" i="84" s="1"/>
  <c r="T12" i="105"/>
  <c r="AQ10" i="110"/>
  <c r="W10" i="110" s="1"/>
  <c r="AQ28" i="108"/>
  <c r="W28" i="108" s="1"/>
  <c r="AQ15" i="84"/>
  <c r="W15" i="84" s="1"/>
  <c r="AI18" i="104"/>
  <c r="AK18" i="104"/>
  <c r="AL18" i="104" s="1"/>
  <c r="W18" i="104"/>
  <c r="AN10" i="103"/>
  <c r="AL10" i="103"/>
  <c r="AM10" i="103" s="1"/>
  <c r="AP10" i="103"/>
  <c r="AN11" i="85"/>
  <c r="AP11" i="85"/>
  <c r="AL11" i="85"/>
  <c r="Q66" i="108"/>
  <c r="V15" i="108"/>
  <c r="R65" i="102"/>
  <c r="R67" i="102" s="1"/>
  <c r="R52" i="102"/>
  <c r="AP16" i="108"/>
  <c r="AN16" i="108"/>
  <c r="AL16" i="108"/>
  <c r="AM16" i="108" s="1"/>
  <c r="W12" i="103"/>
  <c r="AK12" i="103"/>
  <c r="AI12" i="103"/>
  <c r="AQ18" i="85"/>
  <c r="AN21" i="105"/>
  <c r="AN9" i="80"/>
  <c r="S10" i="100"/>
  <c r="S21" i="100" s="1"/>
  <c r="T28" i="104"/>
  <c r="AN13" i="80"/>
  <c r="W13" i="80" s="1"/>
  <c r="AQ20" i="102"/>
  <c r="W20" i="102" s="1"/>
  <c r="S9" i="85"/>
  <c r="S25" i="85" s="1"/>
  <c r="T11" i="107"/>
  <c r="AL15" i="85"/>
  <c r="AN15" i="85"/>
  <c r="AP15" i="85"/>
  <c r="T66" i="84"/>
  <c r="V11" i="84"/>
  <c r="W10" i="105"/>
  <c r="AP14" i="86"/>
  <c r="AL14" i="86"/>
  <c r="AN14" i="86"/>
  <c r="AP32" i="102"/>
  <c r="AN32" i="102"/>
  <c r="AL32" i="102"/>
  <c r="AN10" i="86"/>
  <c r="AP10" i="86"/>
  <c r="AL10" i="86"/>
  <c r="AM10" i="86" s="1"/>
  <c r="AQ9" i="84"/>
  <c r="W9" i="84" s="1"/>
  <c r="S28" i="104"/>
  <c r="N33" i="519" l="1"/>
  <c r="N26" i="519" s="1"/>
  <c r="E37" i="174"/>
  <c r="D37" i="174"/>
  <c r="D74" i="174"/>
  <c r="C29" i="174"/>
  <c r="C27" i="174" s="1"/>
  <c r="C37" i="174" s="1"/>
  <c r="T25" i="109"/>
  <c r="AK9" i="109"/>
  <c r="AN14" i="85"/>
  <c r="AL14" i="85"/>
  <c r="M33" i="519"/>
  <c r="M26" i="519" s="1"/>
  <c r="S52" i="102"/>
  <c r="V22" i="102"/>
  <c r="V65" i="102" s="1"/>
  <c r="T65" i="102"/>
  <c r="T9" i="85"/>
  <c r="V9" i="85" s="1"/>
  <c r="T11" i="106"/>
  <c r="S65" i="102"/>
  <c r="S67" i="102" s="1"/>
  <c r="S15" i="101"/>
  <c r="S23" i="101" s="1"/>
  <c r="W64" i="108"/>
  <c r="X64" i="108" s="1"/>
  <c r="V20" i="110"/>
  <c r="T28" i="110"/>
  <c r="T52" i="102"/>
  <c r="W19" i="103"/>
  <c r="S66" i="108"/>
  <c r="AQ15" i="85"/>
  <c r="W28" i="104"/>
  <c r="J33" i="104" s="1"/>
  <c r="L33" i="104" s="1"/>
  <c r="AN13" i="105"/>
  <c r="W13" i="105" s="1"/>
  <c r="AQ10" i="109"/>
  <c r="W10" i="109" s="1"/>
  <c r="AL9" i="106"/>
  <c r="AM9" i="106" s="1"/>
  <c r="AP9" i="106"/>
  <c r="AQ9" i="106" s="1"/>
  <c r="W9" i="106" s="1"/>
  <c r="V9" i="102"/>
  <c r="T64" i="102"/>
  <c r="AQ23" i="103"/>
  <c r="S20" i="108"/>
  <c r="S65" i="108" s="1"/>
  <c r="S67" i="108" s="1"/>
  <c r="AN25" i="105"/>
  <c r="Q52" i="108"/>
  <c r="AQ18" i="103"/>
  <c r="AQ15" i="102"/>
  <c r="W15" i="102" s="1"/>
  <c r="T66" i="108"/>
  <c r="V11" i="108"/>
  <c r="AK11" i="108" s="1"/>
  <c r="AL11" i="108" s="1"/>
  <c r="AM11" i="108" s="1"/>
  <c r="V9" i="103"/>
  <c r="T25" i="103"/>
  <c r="T25" i="80"/>
  <c r="S28" i="80"/>
  <c r="T10" i="100"/>
  <c r="T21" i="100" s="1"/>
  <c r="AQ14" i="85"/>
  <c r="AQ29" i="102"/>
  <c r="W29" i="102" s="1"/>
  <c r="S25" i="103"/>
  <c r="V19" i="86"/>
  <c r="T28" i="86"/>
  <c r="AQ10" i="86"/>
  <c r="W10" i="86" s="1"/>
  <c r="Q67" i="108"/>
  <c r="V10" i="84"/>
  <c r="V52" i="84" s="1"/>
  <c r="T64" i="84"/>
  <c r="T67" i="84" s="1"/>
  <c r="AN9" i="109"/>
  <c r="AP9" i="109"/>
  <c r="AL9" i="109"/>
  <c r="AM9" i="109" s="1"/>
  <c r="S64" i="84"/>
  <c r="S67" i="84" s="1"/>
  <c r="S52" i="84"/>
  <c r="AQ32" i="84"/>
  <c r="W32" i="84" s="1"/>
  <c r="W9" i="80"/>
  <c r="V11" i="106"/>
  <c r="T21" i="106"/>
  <c r="AI11" i="109"/>
  <c r="AK11" i="109"/>
  <c r="V25" i="109"/>
  <c r="I31" i="109" s="1"/>
  <c r="K31" i="109" s="1"/>
  <c r="AP10" i="107"/>
  <c r="AQ10" i="107" s="1"/>
  <c r="W10" i="107" s="1"/>
  <c r="AL10" i="107"/>
  <c r="AM10" i="107" s="1"/>
  <c r="AK19" i="102"/>
  <c r="AL19" i="102" s="1"/>
  <c r="W19" i="102"/>
  <c r="AI19" i="102"/>
  <c r="AQ16" i="108"/>
  <c r="W16" i="108" s="1"/>
  <c r="AQ11" i="85"/>
  <c r="W11" i="85" s="1"/>
  <c r="AQ19" i="109"/>
  <c r="AQ14" i="102"/>
  <c r="W14" i="102" s="1"/>
  <c r="AQ21" i="109"/>
  <c r="AP11" i="84"/>
  <c r="AN11" i="84"/>
  <c r="AK11" i="84"/>
  <c r="AL11" i="84" s="1"/>
  <c r="AM11" i="84" s="1"/>
  <c r="AI11" i="84"/>
  <c r="V66" i="84"/>
  <c r="AP12" i="103"/>
  <c r="AL12" i="103"/>
  <c r="AN12" i="103"/>
  <c r="AK15" i="108"/>
  <c r="AI15" i="108"/>
  <c r="I12" i="111"/>
  <c r="O12" i="111" s="1"/>
  <c r="I28" i="81"/>
  <c r="W19" i="101"/>
  <c r="AI19" i="101"/>
  <c r="AK19" i="101"/>
  <c r="AL19" i="101" s="1"/>
  <c r="AN9" i="86"/>
  <c r="AP9" i="86"/>
  <c r="AL9" i="86"/>
  <c r="AM9" i="86" s="1"/>
  <c r="AQ32" i="102"/>
  <c r="W32" i="102" s="1"/>
  <c r="AQ14" i="86"/>
  <c r="W14" i="86" s="1"/>
  <c r="AQ10" i="103"/>
  <c r="W10" i="103" s="1"/>
  <c r="AQ20" i="84"/>
  <c r="W20" i="84" s="1"/>
  <c r="AQ10" i="85"/>
  <c r="W10" i="85" s="1"/>
  <c r="V11" i="107"/>
  <c r="T23" i="107"/>
  <c r="V12" i="105"/>
  <c r="T28" i="105"/>
  <c r="AL12" i="102"/>
  <c r="AM12" i="102" s="1"/>
  <c r="AP12" i="102"/>
  <c r="AQ12" i="102" s="1"/>
  <c r="W12" i="102" s="1"/>
  <c r="V14" i="99"/>
  <c r="T28" i="99"/>
  <c r="T25" i="85"/>
  <c r="AP9" i="81"/>
  <c r="AQ9" i="81" s="1"/>
  <c r="W9" i="81" s="1"/>
  <c r="W21" i="81" s="1"/>
  <c r="AL9" i="81"/>
  <c r="AM9" i="81" s="1"/>
  <c r="AP19" i="103"/>
  <c r="AN19" i="103"/>
  <c r="N25" i="519" l="1"/>
  <c r="E74" i="174"/>
  <c r="C72" i="174"/>
  <c r="L41" i="519"/>
  <c r="L39" i="519" s="1"/>
  <c r="V10" i="100"/>
  <c r="AP11" i="108"/>
  <c r="T67" i="102"/>
  <c r="T15" i="101"/>
  <c r="V15" i="101" s="1"/>
  <c r="AK20" i="110"/>
  <c r="AL20" i="110" s="1"/>
  <c r="V28" i="110"/>
  <c r="I33" i="110" s="1"/>
  <c r="K33" i="110" s="1"/>
  <c r="AI20" i="110"/>
  <c r="W20" i="110"/>
  <c r="W28" i="110" s="1"/>
  <c r="J33" i="110" s="1"/>
  <c r="L33" i="110" s="1"/>
  <c r="AI22" i="102"/>
  <c r="AK22" i="102"/>
  <c r="AL22" i="102" s="1"/>
  <c r="W22" i="102"/>
  <c r="W65" i="102" s="1"/>
  <c r="X65" i="102" s="1"/>
  <c r="W65" i="84"/>
  <c r="X65" i="84" s="1"/>
  <c r="AI11" i="108"/>
  <c r="T20" i="108"/>
  <c r="T52" i="108" s="1"/>
  <c r="S52" i="108"/>
  <c r="AQ9" i="86"/>
  <c r="W9" i="86" s="1"/>
  <c r="AN9" i="102"/>
  <c r="AK9" i="102"/>
  <c r="AL9" i="102" s="1"/>
  <c r="AM9" i="102" s="1"/>
  <c r="AI9" i="102"/>
  <c r="AP9" i="102"/>
  <c r="V52" i="102"/>
  <c r="K57" i="102" s="1"/>
  <c r="M57" i="102" s="1"/>
  <c r="V64" i="102"/>
  <c r="V67" i="102" s="1"/>
  <c r="Y67" i="102" s="1"/>
  <c r="V66" i="108"/>
  <c r="V25" i="80"/>
  <c r="T28" i="80"/>
  <c r="AI9" i="103"/>
  <c r="AK9" i="103"/>
  <c r="V25" i="103"/>
  <c r="I31" i="103" s="1"/>
  <c r="K31" i="103" s="1"/>
  <c r="AN11" i="108"/>
  <c r="AQ11" i="108" s="1"/>
  <c r="W11" i="108" s="1"/>
  <c r="AQ9" i="109"/>
  <c r="W9" i="109" s="1"/>
  <c r="AN10" i="84"/>
  <c r="AI10" i="84"/>
  <c r="AP10" i="84"/>
  <c r="AK10" i="84"/>
  <c r="AL10" i="84" s="1"/>
  <c r="AM10" i="84" s="1"/>
  <c r="V64" i="84"/>
  <c r="V67" i="84" s="1"/>
  <c r="V28" i="86"/>
  <c r="AK19" i="86"/>
  <c r="AL19" i="86" s="1"/>
  <c r="W19" i="86"/>
  <c r="AI19" i="86"/>
  <c r="J12" i="111"/>
  <c r="P12" i="111" s="1"/>
  <c r="J28" i="81"/>
  <c r="AM14" i="99"/>
  <c r="AK14" i="99"/>
  <c r="W14" i="99"/>
  <c r="W28" i="99" s="1"/>
  <c r="J34" i="99" s="1"/>
  <c r="L34" i="99" s="1"/>
  <c r="AJ14" i="99"/>
  <c r="AI14" i="99"/>
  <c r="V28" i="99"/>
  <c r="I34" i="99" s="1"/>
  <c r="K34" i="99" s="1"/>
  <c r="AI12" i="105"/>
  <c r="AJ12" i="105"/>
  <c r="AK12" i="105"/>
  <c r="AM12" i="105"/>
  <c r="W12" i="105"/>
  <c r="W28" i="105" s="1"/>
  <c r="J34" i="105" s="1"/>
  <c r="L34" i="105" s="1"/>
  <c r="V28" i="105"/>
  <c r="I34" i="105" s="1"/>
  <c r="K34" i="105" s="1"/>
  <c r="AK9" i="85"/>
  <c r="V25" i="85"/>
  <c r="AI9" i="85"/>
  <c r="K28" i="81"/>
  <c r="I11" i="42"/>
  <c r="L11" i="42" s="1"/>
  <c r="I13" i="111"/>
  <c r="O13" i="111" s="1"/>
  <c r="K57" i="84"/>
  <c r="AN11" i="109"/>
  <c r="AP11" i="109"/>
  <c r="AL11" i="109"/>
  <c r="AQ11" i="84"/>
  <c r="W11" i="84" s="1"/>
  <c r="AK10" i="100"/>
  <c r="AI10" i="100"/>
  <c r="AN10" i="100"/>
  <c r="V21" i="100"/>
  <c r="I28" i="100" s="1"/>
  <c r="K28" i="100" s="1"/>
  <c r="AK11" i="107"/>
  <c r="AL11" i="107" s="1"/>
  <c r="AI11" i="107"/>
  <c r="W11" i="107"/>
  <c r="W23" i="107" s="1"/>
  <c r="L28" i="107" s="1"/>
  <c r="N28" i="107" s="1"/>
  <c r="V23" i="107"/>
  <c r="K28" i="107" s="1"/>
  <c r="M28" i="107" s="1"/>
  <c r="AQ19" i="103"/>
  <c r="AQ12" i="103"/>
  <c r="AN15" i="108"/>
  <c r="AP15" i="108"/>
  <c r="AL15" i="108"/>
  <c r="AI11" i="106"/>
  <c r="W11" i="106"/>
  <c r="W21" i="106" s="1"/>
  <c r="J28" i="106" s="1"/>
  <c r="L28" i="106" s="1"/>
  <c r="AK11" i="106"/>
  <c r="AL11" i="106" s="1"/>
  <c r="V21" i="106"/>
  <c r="I28" i="106" s="1"/>
  <c r="K28" i="106" s="1"/>
  <c r="W28" i="86"/>
  <c r="L33" i="519" l="1"/>
  <c r="L26" i="519" s="1"/>
  <c r="C74" i="174"/>
  <c r="C75" i="174"/>
  <c r="T23" i="101"/>
  <c r="T65" i="108"/>
  <c r="T67" i="108" s="1"/>
  <c r="V20" i="108"/>
  <c r="V52" i="108" s="1"/>
  <c r="K57" i="108" s="1"/>
  <c r="M57" i="108" s="1"/>
  <c r="AQ15" i="108"/>
  <c r="W15" i="108" s="1"/>
  <c r="AQ10" i="84"/>
  <c r="W10" i="84" s="1"/>
  <c r="W64" i="84" s="1"/>
  <c r="X64" i="84" s="1"/>
  <c r="AQ9" i="102"/>
  <c r="W9" i="102" s="1"/>
  <c r="AQ11" i="109"/>
  <c r="W11" i="109" s="1"/>
  <c r="W25" i="109" s="1"/>
  <c r="J31" i="109" s="1"/>
  <c r="L31" i="109" s="1"/>
  <c r="AJ25" i="80"/>
  <c r="AI25" i="80"/>
  <c r="AK25" i="80"/>
  <c r="AM25" i="80"/>
  <c r="W25" i="80"/>
  <c r="W28" i="80" s="1"/>
  <c r="V28" i="80"/>
  <c r="AI15" i="101"/>
  <c r="AK15" i="101"/>
  <c r="AL15" i="101" s="1"/>
  <c r="W15" i="101"/>
  <c r="W23" i="101" s="1"/>
  <c r="L28" i="101" s="1"/>
  <c r="N28" i="101" s="1"/>
  <c r="V23" i="101"/>
  <c r="K28" i="101" s="1"/>
  <c r="M28" i="101" s="1"/>
  <c r="I33" i="86"/>
  <c r="I15" i="111"/>
  <c r="O15" i="111" s="1"/>
  <c r="AP9" i="103"/>
  <c r="AN9" i="103"/>
  <c r="AL9" i="103"/>
  <c r="AM9" i="103" s="1"/>
  <c r="W66" i="108"/>
  <c r="X66" i="108" s="1"/>
  <c r="J11" i="42"/>
  <c r="M11" i="42" s="1"/>
  <c r="L28" i="81"/>
  <c r="J15" i="111"/>
  <c r="P15" i="111" s="1"/>
  <c r="J33" i="86"/>
  <c r="AN9" i="85"/>
  <c r="AL9" i="85"/>
  <c r="AM9" i="85" s="1"/>
  <c r="AP9" i="85"/>
  <c r="AN12" i="105"/>
  <c r="AN28" i="105" s="1"/>
  <c r="Y67" i="84"/>
  <c r="AL10" i="100"/>
  <c r="AM10" i="100" s="1"/>
  <c r="AP10" i="100"/>
  <c r="AQ10" i="100" s="1"/>
  <c r="W10" i="100" s="1"/>
  <c r="W21" i="100" s="1"/>
  <c r="J28" i="100" s="1"/>
  <c r="L28" i="100" s="1"/>
  <c r="W66" i="84"/>
  <c r="M57" i="84"/>
  <c r="I13" i="42"/>
  <c r="L13" i="42" s="1"/>
  <c r="I14" i="111"/>
  <c r="O14" i="111" s="1"/>
  <c r="I31" i="85"/>
  <c r="AN14" i="99"/>
  <c r="AN28" i="99" s="1"/>
  <c r="U12" i="111" l="1"/>
  <c r="V65" i="108"/>
  <c r="V67" i="108" s="1"/>
  <c r="Y67" i="108" s="1"/>
  <c r="AK20" i="108"/>
  <c r="AI20" i="108"/>
  <c r="W52" i="84"/>
  <c r="AN25" i="80"/>
  <c r="AN28" i="80" s="1"/>
  <c r="W64" i="102"/>
  <c r="W52" i="102"/>
  <c r="L57" i="102" s="1"/>
  <c r="N57" i="102" s="1"/>
  <c r="AQ9" i="103"/>
  <c r="W9" i="103" s="1"/>
  <c r="W25" i="103" s="1"/>
  <c r="J31" i="103" s="1"/>
  <c r="L31" i="103" s="1"/>
  <c r="AL20" i="108"/>
  <c r="AM20" i="108" s="1"/>
  <c r="AP20" i="108"/>
  <c r="AN20" i="108"/>
  <c r="I10" i="111"/>
  <c r="I34" i="80"/>
  <c r="J10" i="111"/>
  <c r="J34" i="80"/>
  <c r="K33" i="86"/>
  <c r="I15" i="42"/>
  <c r="L15" i="42" s="1"/>
  <c r="X66" i="84"/>
  <c r="W67" i="84"/>
  <c r="AQ9" i="85"/>
  <c r="W9" i="85" s="1"/>
  <c r="W25" i="85" s="1"/>
  <c r="J13" i="111"/>
  <c r="P13" i="111" s="1"/>
  <c r="L57" i="84"/>
  <c r="I14" i="42"/>
  <c r="L14" i="42" s="1"/>
  <c r="K31" i="85"/>
  <c r="J15" i="42"/>
  <c r="M15" i="42" s="1"/>
  <c r="L33" i="86"/>
  <c r="AQ20" i="108" l="1"/>
  <c r="W20" i="108" s="1"/>
  <c r="X64" i="102"/>
  <c r="W67" i="102"/>
  <c r="J16" i="111"/>
  <c r="P10" i="111"/>
  <c r="K34" i="80"/>
  <c r="I10" i="42"/>
  <c r="W52" i="108"/>
  <c r="L57" i="108" s="1"/>
  <c r="N57" i="108" s="1"/>
  <c r="W65" i="108"/>
  <c r="O10" i="111"/>
  <c r="I16" i="111"/>
  <c r="J10" i="42"/>
  <c r="L34" i="80"/>
  <c r="J14" i="111"/>
  <c r="P14" i="111" s="1"/>
  <c r="V12" i="111" s="1"/>
  <c r="J31" i="85"/>
  <c r="Z67" i="84"/>
  <c r="X67" i="84"/>
  <c r="J13" i="42"/>
  <c r="M13" i="42" s="1"/>
  <c r="N57" i="84"/>
  <c r="X67" i="102" l="1"/>
  <c r="Z67" i="102"/>
  <c r="O16" i="111"/>
  <c r="U10" i="111"/>
  <c r="U16" i="111" s="1"/>
  <c r="X65" i="108"/>
  <c r="W67" i="108"/>
  <c r="V10" i="111"/>
  <c r="V16" i="111" s="1"/>
  <c r="P16" i="111"/>
  <c r="L10" i="42"/>
  <c r="L16" i="42" s="1"/>
  <c r="I16" i="42"/>
  <c r="J16" i="42"/>
  <c r="M10" i="42"/>
  <c r="M16" i="42" s="1"/>
  <c r="J14" i="42"/>
  <c r="M14" i="42" s="1"/>
  <c r="L31" i="85"/>
  <c r="Z67" i="108" l="1"/>
  <c r="X67" i="108"/>
  <c r="H18" i="136" l="1"/>
  <c r="H25" i="136" l="1"/>
  <c r="H97" i="136"/>
  <c r="M69" i="519"/>
  <c r="M67" i="519" s="1"/>
  <c r="M66" i="519" s="1"/>
  <c r="M25" i="519" s="1"/>
  <c r="H99" i="136" l="1"/>
  <c r="I64" i="545"/>
  <c r="E97" i="136"/>
  <c r="E99" i="136" s="1"/>
  <c r="L102" i="519"/>
  <c r="L99" i="519" s="1"/>
  <c r="L66" i="519" s="1"/>
  <c r="L25" i="519" l="1"/>
</calcChain>
</file>

<file path=xl/comments1.xml><?xml version="1.0" encoding="utf-8"?>
<comments xmlns="http://schemas.openxmlformats.org/spreadsheetml/2006/main">
  <authors>
    <author>Касьяненко Анастасия Юрьевна</author>
  </authors>
  <commentList>
    <comment ref="L4" authorId="0" shapeId="0">
      <text/>
    </comment>
  </commentList>
</comments>
</file>

<file path=xl/comments10.xml><?xml version="1.0" encoding="utf-8"?>
<comments xmlns="http://schemas.openxmlformats.org/spreadsheetml/2006/main">
  <authors>
    <author>Касьяненко Анастасия Юрьевна</author>
  </authors>
  <commentList>
    <comment ref="L4" authorId="0" shapeId="0">
      <text/>
    </comment>
  </commentList>
</comments>
</file>

<file path=xl/comments11.xml><?xml version="1.0" encoding="utf-8"?>
<comments xmlns="http://schemas.openxmlformats.org/spreadsheetml/2006/main">
  <authors>
    <author>Касьяненко Анастасия Юрьевна</author>
  </authors>
  <commentList>
    <comment ref="L4" authorId="0" shapeId="0">
      <text/>
    </comment>
  </commentList>
</comments>
</file>

<file path=xl/comments12.xml><?xml version="1.0" encoding="utf-8"?>
<comments xmlns="http://schemas.openxmlformats.org/spreadsheetml/2006/main">
  <authors>
    <author>Касьяненко Анастасия Юрьевна</author>
  </authors>
  <commentList>
    <comment ref="L4" authorId="0" shapeId="0">
      <text/>
    </comment>
  </commentList>
</comments>
</file>

<file path=xl/comments13.xml><?xml version="1.0" encoding="utf-8"?>
<comments xmlns="http://schemas.openxmlformats.org/spreadsheetml/2006/main">
  <authors>
    <author>Касьяненко Анастасия Юрьевна</author>
  </authors>
  <commentList>
    <comment ref="L4" authorId="0" shapeId="0">
      <text/>
    </comment>
  </commentList>
</comments>
</file>

<file path=xl/comments14.xml><?xml version="1.0" encoding="utf-8"?>
<comments xmlns="http://schemas.openxmlformats.org/spreadsheetml/2006/main">
  <authors>
    <author>Касьяненко Анастасия Юрьевна</author>
  </authors>
  <commentList>
    <comment ref="L4" authorId="0" shapeId="0">
      <text>
        <r>
          <rPr>
            <sz val="9"/>
            <color indexed="81"/>
            <rFont val="Tahoma"/>
            <family val="2"/>
            <charset val="204"/>
          </rPr>
          <t xml:space="preserve">
</t>
        </r>
      </text>
    </comment>
  </commentList>
</comments>
</file>

<file path=xl/comments15.xml><?xml version="1.0" encoding="utf-8"?>
<comments xmlns="http://schemas.openxmlformats.org/spreadsheetml/2006/main">
  <authors>
    <author>Касьяненко Анастасия Юрьевна</author>
  </authors>
  <commentList>
    <comment ref="L4" authorId="0" shapeId="0">
      <text>
        <r>
          <rPr>
            <sz val="9"/>
            <color indexed="81"/>
            <rFont val="Tahoma"/>
            <family val="2"/>
            <charset val="204"/>
          </rPr>
          <t xml:space="preserve">
</t>
        </r>
      </text>
    </comment>
  </commentList>
</comments>
</file>

<file path=xl/comments16.xml><?xml version="1.0" encoding="utf-8"?>
<comments xmlns="http://schemas.openxmlformats.org/spreadsheetml/2006/main">
  <authors>
    <author>Касьяненко Анастасия Юрьевна</author>
  </authors>
  <commentList>
    <comment ref="L4" authorId="0" shapeId="0">
      <text/>
    </comment>
  </commentList>
</comments>
</file>

<file path=xl/comments17.xml><?xml version="1.0" encoding="utf-8"?>
<comments xmlns="http://schemas.openxmlformats.org/spreadsheetml/2006/main">
  <authors>
    <author>Касьяненко Анастасия Юрьевна</author>
  </authors>
  <commentList>
    <comment ref="L4" authorId="0" shapeId="0">
      <text/>
    </comment>
  </commentList>
</comments>
</file>

<file path=xl/comments18.xml><?xml version="1.0" encoding="utf-8"?>
<comments xmlns="http://schemas.openxmlformats.org/spreadsheetml/2006/main">
  <authors>
    <author>Касьяненко Анастасия Юрьевна</author>
  </authors>
  <commentList>
    <comment ref="L4" authorId="0" shapeId="0">
      <text/>
    </comment>
  </commentList>
</comments>
</file>

<file path=xl/comments2.xml><?xml version="1.0" encoding="utf-8"?>
<comments xmlns="http://schemas.openxmlformats.org/spreadsheetml/2006/main">
  <authors>
    <author>Касьяненко Анастасия Юрьевна</author>
  </authors>
  <commentList>
    <comment ref="L4" authorId="0" shapeId="0">
      <text>
        <r>
          <rPr>
            <sz val="9"/>
            <color indexed="81"/>
            <rFont val="Tahoma"/>
            <family val="2"/>
            <charset val="204"/>
          </rPr>
          <t xml:space="preserve">
</t>
        </r>
      </text>
    </comment>
  </commentList>
</comments>
</file>

<file path=xl/comments3.xml><?xml version="1.0" encoding="utf-8"?>
<comments xmlns="http://schemas.openxmlformats.org/spreadsheetml/2006/main">
  <authors>
    <author>Агаева Татьяна Сергеевна</author>
  </authors>
  <commentList>
    <comment ref="B43" authorId="0" shapeId="0">
      <text>
        <r>
          <rPr>
            <b/>
            <sz val="9"/>
            <color indexed="81"/>
            <rFont val="Tahoma"/>
            <family val="2"/>
            <charset val="204"/>
          </rPr>
          <t>Агаева Татьяна Сергеевна:</t>
        </r>
        <r>
          <rPr>
            <sz val="9"/>
            <color indexed="81"/>
            <rFont val="Tahoma"/>
            <family val="2"/>
            <charset val="204"/>
          </rPr>
          <t xml:space="preserve">
1230=1230+1240+1250+вкладка ФСС</t>
        </r>
      </text>
    </comment>
    <comment ref="B50" authorId="0" shapeId="0">
      <text>
        <r>
          <rPr>
            <b/>
            <sz val="9"/>
            <color indexed="81"/>
            <rFont val="Tahoma"/>
            <family val="2"/>
            <charset val="204"/>
          </rPr>
          <t>Агаева Татьяна Сергеевна:</t>
        </r>
        <r>
          <rPr>
            <sz val="9"/>
            <color indexed="81"/>
            <rFont val="Tahoma"/>
            <family val="2"/>
            <charset val="204"/>
          </rPr>
          <t xml:space="preserve">
иные-1400</t>
        </r>
      </text>
    </comment>
    <comment ref="B51" authorId="0" shapeId="0">
      <text>
        <r>
          <rPr>
            <b/>
            <sz val="9"/>
            <color indexed="81"/>
            <rFont val="Tahoma"/>
            <family val="2"/>
            <charset val="204"/>
          </rPr>
          <t>Агаева Татьяна Сергеевна:</t>
        </r>
        <r>
          <rPr>
            <sz val="9"/>
            <color indexed="81"/>
            <rFont val="Tahoma"/>
            <family val="2"/>
            <charset val="204"/>
          </rPr>
          <t xml:space="preserve">
иные -1400</t>
        </r>
      </text>
    </comment>
    <comment ref="B53" authorId="0" shapeId="0">
      <text>
        <r>
          <rPr>
            <b/>
            <sz val="9"/>
            <color indexed="81"/>
            <rFont val="Tahoma"/>
            <family val="2"/>
            <charset val="204"/>
          </rPr>
          <t>Агаева Татьяна Сергеевна:</t>
        </r>
        <r>
          <rPr>
            <sz val="9"/>
            <color indexed="81"/>
            <rFont val="Tahoma"/>
            <family val="2"/>
            <charset val="204"/>
          </rPr>
          <t xml:space="preserve">
безвозмездные -гранты</t>
        </r>
      </text>
    </comment>
  </commentList>
</comments>
</file>

<file path=xl/comments4.xml><?xml version="1.0" encoding="utf-8"?>
<comments xmlns="http://schemas.openxmlformats.org/spreadsheetml/2006/main">
  <authors>
    <author>Касьяненко Анастасия Юрьевна</author>
  </authors>
  <commentList>
    <comment ref="L4" authorId="0" shapeId="0">
      <text/>
    </comment>
  </commentList>
</comments>
</file>

<file path=xl/comments5.xml><?xml version="1.0" encoding="utf-8"?>
<comments xmlns="http://schemas.openxmlformats.org/spreadsheetml/2006/main">
  <authors>
    <author>Касьяненко Анастасия Юрьевна</author>
  </authors>
  <commentList>
    <comment ref="L4" authorId="0" shapeId="0">
      <text/>
    </comment>
  </commentList>
</comments>
</file>

<file path=xl/comments6.xml><?xml version="1.0" encoding="utf-8"?>
<comments xmlns="http://schemas.openxmlformats.org/spreadsheetml/2006/main">
  <authors>
    <author>Касьяненко Анастасия Юрьевна</author>
  </authors>
  <commentList>
    <comment ref="L4" authorId="0" shapeId="0">
      <text/>
    </comment>
  </commentList>
</comments>
</file>

<file path=xl/comments7.xml><?xml version="1.0" encoding="utf-8"?>
<comments xmlns="http://schemas.openxmlformats.org/spreadsheetml/2006/main">
  <authors>
    <author>Касьяненко Анастасия Юрьевна</author>
  </authors>
  <commentList>
    <comment ref="L4" authorId="0" shapeId="0">
      <text/>
    </comment>
  </commentList>
</comments>
</file>

<file path=xl/comments8.xml><?xml version="1.0" encoding="utf-8"?>
<comments xmlns="http://schemas.openxmlformats.org/spreadsheetml/2006/main">
  <authors>
    <author>Касьяненко Анастасия Юрьевна</author>
  </authors>
  <commentList>
    <comment ref="L4" authorId="0" shapeId="0">
      <text>
        <r>
          <rPr>
            <sz val="9"/>
            <color indexed="81"/>
            <rFont val="Tahoma"/>
            <family val="2"/>
            <charset val="204"/>
          </rPr>
          <t xml:space="preserve">
</t>
        </r>
      </text>
    </comment>
  </commentList>
</comments>
</file>

<file path=xl/comments9.xml><?xml version="1.0" encoding="utf-8"?>
<comments xmlns="http://schemas.openxmlformats.org/spreadsheetml/2006/main">
  <authors>
    <author>Касьяненко Анастасия Юрьевна</author>
  </authors>
  <commentList>
    <comment ref="L4" authorId="0" shapeId="0">
      <text>
        <r>
          <rPr>
            <sz val="9"/>
            <color indexed="81"/>
            <rFont val="Tahoma"/>
            <family val="2"/>
            <charset val="204"/>
          </rPr>
          <t xml:space="preserve">
</t>
        </r>
      </text>
    </comment>
  </commentList>
</comments>
</file>

<file path=xl/sharedStrings.xml><?xml version="1.0" encoding="utf-8"?>
<sst xmlns="http://schemas.openxmlformats.org/spreadsheetml/2006/main" count="3543" uniqueCount="919">
  <si>
    <t>Штатная численность, шт.ед.</t>
  </si>
  <si>
    <t>Доплата за работу в ночное время</t>
  </si>
  <si>
    <t>Доплата за работу в выходные,  нерабочие праздн.дни</t>
  </si>
  <si>
    <t>Структура фонда оплаты труда в год на штатную численность, тыс.руб.</t>
  </si>
  <si>
    <t>Оплата стоимости проезда и провоза багажа к месту проведения отпуска, тыс.руб.</t>
  </si>
  <si>
    <t>количество, чел.</t>
  </si>
  <si>
    <t>стоимость, тыс.руб.</t>
  </si>
  <si>
    <t>Фонд оплаты труда с учетом коэффициента</t>
  </si>
  <si>
    <t>ВСЕГО</t>
  </si>
  <si>
    <t>Коэффициент исполнения по фонду оплаты труда в предшествующем году</t>
  </si>
  <si>
    <t>Работник</t>
  </si>
  <si>
    <t>Члены семьи работника до 12 лет</t>
  </si>
  <si>
    <t>Члены семьи работника после 12 лет</t>
  </si>
  <si>
    <t>Оплата багажа, тыс.руб.</t>
  </si>
  <si>
    <t>Директор</t>
  </si>
  <si>
    <t>Заведующий сектором</t>
  </si>
  <si>
    <t>Заведующий отделом</t>
  </si>
  <si>
    <t>Заведующий филиалом</t>
  </si>
  <si>
    <t>Библиотекарь</t>
  </si>
  <si>
    <t>Главный библиотекарь</t>
  </si>
  <si>
    <t>Редактор</t>
  </si>
  <si>
    <t xml:space="preserve">Директор </t>
  </si>
  <si>
    <t>Главный хранитель фондов</t>
  </si>
  <si>
    <t xml:space="preserve">Заведующий отделом </t>
  </si>
  <si>
    <t>Научный сотрудник</t>
  </si>
  <si>
    <t>Контролер билетов</t>
  </si>
  <si>
    <t>Смотритель музейный</t>
  </si>
  <si>
    <t>Надбавка за опыт работы</t>
  </si>
  <si>
    <t>Старший научный сотрудник</t>
  </si>
  <si>
    <t>Методист</t>
  </si>
  <si>
    <t>Хранитель фондов</t>
  </si>
  <si>
    <t>Художественный руководитель</t>
  </si>
  <si>
    <t>Режисер-постановщик</t>
  </si>
  <si>
    <t>Администратор</t>
  </si>
  <si>
    <t>Оператор пульта управления киноустановок</t>
  </si>
  <si>
    <t>Рестовратор фильмокопий</t>
  </si>
  <si>
    <t xml:space="preserve">Библиотекарь </t>
  </si>
  <si>
    <t>Библиограф</t>
  </si>
  <si>
    <t xml:space="preserve">Руководитель кружка </t>
  </si>
  <si>
    <t>Аккомпаниатор</t>
  </si>
  <si>
    <t>Балетмейстер</t>
  </si>
  <si>
    <t xml:space="preserve">Методист </t>
  </si>
  <si>
    <t>Звукорежиссер</t>
  </si>
  <si>
    <t xml:space="preserve">Звукооператор </t>
  </si>
  <si>
    <t>Режиссер</t>
  </si>
  <si>
    <t>Заведующий художественно-постановочной частью</t>
  </si>
  <si>
    <t>Заведующий звукостудийным сектором</t>
  </si>
  <si>
    <t>Заведующий костюмерной</t>
  </si>
  <si>
    <t>Главный режиссер</t>
  </si>
  <si>
    <t>Художник по свету</t>
  </si>
  <si>
    <t>Художник-декоратор</t>
  </si>
  <si>
    <t>Художник-модельер театрально костюма</t>
  </si>
  <si>
    <t>Художник-постановщик</t>
  </si>
  <si>
    <t xml:space="preserve">Концертмейстер по классу вокала </t>
  </si>
  <si>
    <t>Балетмейстер - постановщик</t>
  </si>
  <si>
    <t>Репетитор по балету</t>
  </si>
  <si>
    <t xml:space="preserve">Режиссер </t>
  </si>
  <si>
    <t>Монтировщик сцены</t>
  </si>
  <si>
    <t>Хормейстер</t>
  </si>
  <si>
    <t xml:space="preserve">Художник-постановщик </t>
  </si>
  <si>
    <t>Киномеханик</t>
  </si>
  <si>
    <t>Надбавка за квалификационную категорию: главный - 25%; ведущий - 20%; высшей категории - 15%; первой категории - 10%; второй категории - 5%.</t>
  </si>
  <si>
    <t>страх взносы</t>
  </si>
  <si>
    <t>к-т</t>
  </si>
  <si>
    <t>ФОТ всего на 1 шт ед</t>
  </si>
  <si>
    <t>Премиальный фонд (персональный и стимулирующий)</t>
  </si>
  <si>
    <t>Премиальный фонд 31,7%  (гр. 14 х 0,317%)    (гр. 14 + 0,005)</t>
  </si>
  <si>
    <t>Компенсация за неиспользованный отпуск 3%, материальная помощь 0,2% ((гр.14 + гр.15 + гр.16 + гр.17) х 3,2%)</t>
  </si>
  <si>
    <t xml:space="preserve">Должностной оклад по действующему штатному расписанию </t>
  </si>
  <si>
    <t>Итого по штатному расписанию (гр.3 * гр.4)</t>
  </si>
  <si>
    <t>Выплата за наличие ученой степени или почетного звания</t>
  </si>
  <si>
    <t>К-т</t>
  </si>
  <si>
    <t>Итого</t>
  </si>
  <si>
    <t>Всего расходов, тыс.руб.
гр.27+гр.30+гр.33+гр.34</t>
  </si>
  <si>
    <t>расходы, тыс.руб.
гр.25 * гр.26</t>
  </si>
  <si>
    <t>расходы, тыс.руб.
гр.28 * гр.29</t>
  </si>
  <si>
    <t>расходы, тыс.руб.
гр.31 * гр.32</t>
  </si>
  <si>
    <t>Наименование внутриструктурной единицы, должности (профессии)</t>
  </si>
  <si>
    <t>№ п/п</t>
  </si>
  <si>
    <t xml:space="preserve">Должностной оклад
 по действующему штатному расписанию </t>
  </si>
  <si>
    <t>Кперс.</t>
  </si>
  <si>
    <t>Сумма</t>
  </si>
  <si>
    <t>Районный коэффициент</t>
  </si>
  <si>
    <t>Северные надбавки</t>
  </si>
  <si>
    <t>Итого фонд заработной платы</t>
  </si>
  <si>
    <t xml:space="preserve">Страховые взносы </t>
  </si>
  <si>
    <t>Итого оклад+стим.+комп.выплаты+прочие надбавки</t>
  </si>
  <si>
    <t xml:space="preserve">Компенсация за неиспользованный отпуск 3%, материальная помощь 0,2% </t>
  </si>
  <si>
    <t>Итого надбавки+ПВ</t>
  </si>
  <si>
    <t>Должностной оклад на год</t>
  </si>
  <si>
    <t>Персональная надбавка за работу в МО г. Норильска</t>
  </si>
  <si>
    <t xml:space="preserve">Персональная надбавка   за работу в МО г. Норильска </t>
  </si>
  <si>
    <t>Кассир билетный</t>
  </si>
  <si>
    <t>Итого оклад+стим.+комп.выплаты+ прочие надбавки</t>
  </si>
  <si>
    <t xml:space="preserve">Кассир билетный </t>
  </si>
  <si>
    <t>Учреждение</t>
  </si>
  <si>
    <t>Исполнитель:</t>
  </si>
  <si>
    <t>ИТОГО</t>
  </si>
  <si>
    <t>шт.числ</t>
  </si>
  <si>
    <t>Итого культура</t>
  </si>
  <si>
    <t>Заведующий  сектором видеообеспечения</t>
  </si>
  <si>
    <t>Режиссер массовых представлений</t>
  </si>
  <si>
    <t>Столяр по изготовлению декораций</t>
  </si>
  <si>
    <t xml:space="preserve">Механик по ремонту и обслуживанию кинотехнологического оборудования </t>
  </si>
  <si>
    <t xml:space="preserve">Художник-декоратор </t>
  </si>
  <si>
    <t>Старший администратор</t>
  </si>
  <si>
    <t>Специалист по внедрению информационных систем</t>
  </si>
  <si>
    <t xml:space="preserve">Переплетчик </t>
  </si>
  <si>
    <t>Менеджер по культурно-массовому досугу</t>
  </si>
  <si>
    <t>Механик по обслуживанию звуковой техники</t>
  </si>
  <si>
    <t>Руководитель любительского объединения</t>
  </si>
  <si>
    <t>МБУ "МВК "Музей Норильска"</t>
  </si>
  <si>
    <t>МБУ "КК "Родина"</t>
  </si>
  <si>
    <t>МБУК "Городской центр культуры"</t>
  </si>
  <si>
    <t>МБУК "КДЦ "Юбилейный"</t>
  </si>
  <si>
    <t xml:space="preserve">МБУК "КДЦ им. В. Высоцкого" </t>
  </si>
  <si>
    <t>ПФ</t>
  </si>
  <si>
    <t>ФСС</t>
  </si>
  <si>
    <t>ФОМС</t>
  </si>
  <si>
    <t>Итого СВ</t>
  </si>
  <si>
    <t xml:space="preserve">Отклонение </t>
  </si>
  <si>
    <t>АУП</t>
  </si>
  <si>
    <t>основной</t>
  </si>
  <si>
    <t>Прочий</t>
  </si>
  <si>
    <t>клубы</t>
  </si>
  <si>
    <t>Заместитель директора</t>
  </si>
  <si>
    <t>Снежногорский филиал</t>
  </si>
  <si>
    <t xml:space="preserve">Заместитель директора </t>
  </si>
  <si>
    <t>Отклонение</t>
  </si>
  <si>
    <t xml:space="preserve">Старший администратор </t>
  </si>
  <si>
    <t>Менеджер культурно-досуговой организации</t>
  </si>
  <si>
    <t>Главный библиотекарь (Снежногорский филиал)</t>
  </si>
  <si>
    <t xml:space="preserve">Менеджер культурно-досуговой организации </t>
  </si>
  <si>
    <t xml:space="preserve">МБУ "Централизованная библиотечная система"  </t>
  </si>
  <si>
    <t xml:space="preserve">Заведующий сектором </t>
  </si>
  <si>
    <t>Расчетные значения 2019</t>
  </si>
  <si>
    <t>Машинист сцены</t>
  </si>
  <si>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rFont val="Times New Roman"/>
        <family val="2"/>
        <charset val="204"/>
      </rPr>
      <t>МБУ "МВК "Музей Норильска"</t>
    </r>
    <r>
      <rPr>
        <sz val="16"/>
        <rFont val="Times New Roman"/>
        <family val="2"/>
        <charset val="204"/>
      </rPr>
      <t xml:space="preserve"> на 2020 год </t>
    </r>
  </si>
  <si>
    <t>Начальник отдела ЭАиП</t>
  </si>
  <si>
    <t>Шикера И.А.,тел.: 43-72-45 (доб. 2822)</t>
  </si>
  <si>
    <t>ФОТ на 01.01.2019 г.</t>
  </si>
  <si>
    <t>Расчетные значения 2020 г.</t>
  </si>
  <si>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color indexed="8"/>
        <rFont val="Times New Roman"/>
        <family val="1"/>
        <charset val="204"/>
      </rPr>
      <t>МБУ "КК "Родина" на 2020 год</t>
    </r>
  </si>
  <si>
    <t>ФОТ передаваемый в МКУ "ОК УК" (0,5 библиотекаря)</t>
  </si>
  <si>
    <t>ФОТ передаваемый в МКУ "ОК УК" (0,5-концертмейстер по вокалу, 0,5-монтировщик сцены, 0,25-руководитель кружка, 0,25-режиссер)</t>
  </si>
  <si>
    <t>Расчетные значения 2020</t>
  </si>
  <si>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rFont val="Times New Roman"/>
        <family val="2"/>
        <charset val="204"/>
      </rPr>
      <t>МБУК "Городской центр культуры" на 2020 год с учетом Снежногорского филиала</t>
    </r>
  </si>
  <si>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color indexed="8"/>
        <rFont val="Times New Roman"/>
        <family val="1"/>
        <charset val="204"/>
      </rPr>
      <t xml:space="preserve"> МБУК "КДЦ "Юбилейный" на 2020 год</t>
    </r>
  </si>
  <si>
    <t>Методист по составлению кинопрограмм</t>
  </si>
  <si>
    <t>Руководитель клуба по интересам</t>
  </si>
  <si>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color indexed="8"/>
        <rFont val="Times New Roman"/>
        <family val="1"/>
        <charset val="204"/>
      </rPr>
      <t xml:space="preserve"> МБУК "КДЦ им. В. Высоцкого" на 2020 год</t>
    </r>
  </si>
  <si>
    <t>Шикера И.А., 2822</t>
  </si>
  <si>
    <t xml:space="preserve">ФОТ передаваемый в МКУ "ОК УК" </t>
  </si>
  <si>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rFont val="Times New Roman"/>
        <family val="2"/>
        <charset val="204"/>
      </rPr>
      <t>МБУ "МВК "Музей Норильска"</t>
    </r>
    <r>
      <rPr>
        <sz val="16"/>
        <rFont val="Times New Roman"/>
        <family val="2"/>
        <charset val="204"/>
      </rPr>
      <t xml:space="preserve"> на 2021 год </t>
    </r>
  </si>
  <si>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rFont val="Times New Roman"/>
        <family val="2"/>
        <charset val="204"/>
      </rPr>
      <t>МБУ "МВК "Музей Норильска"</t>
    </r>
    <r>
      <rPr>
        <sz val="16"/>
        <rFont val="Times New Roman"/>
        <family val="2"/>
        <charset val="204"/>
      </rPr>
      <t xml:space="preserve"> на 2022 год </t>
    </r>
  </si>
  <si>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color indexed="8"/>
        <rFont val="Times New Roman"/>
        <family val="1"/>
        <charset val="204"/>
      </rPr>
      <t>МБУ "КК "Родина" на 2021 год</t>
    </r>
  </si>
  <si>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color indexed="8"/>
        <rFont val="Times New Roman"/>
        <family val="1"/>
        <charset val="204"/>
      </rPr>
      <t>МБУ "КК "Родина" на 2022 год</t>
    </r>
  </si>
  <si>
    <r>
      <t>Расчет затрат на оплату труда, страховые взносы, на оплату стоимости проезда и провоза багажа к месту использования отпуска и обратно</t>
    </r>
    <r>
      <rPr>
        <u/>
        <sz val="16"/>
        <rFont val="Times New Roman"/>
        <family val="2"/>
        <charset val="204"/>
      </rPr>
      <t xml:space="preserve"> МБУ "Централизованная библиотечная система" на 2021 год</t>
    </r>
  </si>
  <si>
    <r>
      <t>Расчет затрат на оплату труда, страховые взносы, на оплату стоимости проезда и провоза багажа к месту использования отпуска и обратно</t>
    </r>
    <r>
      <rPr>
        <u/>
        <sz val="16"/>
        <rFont val="Times New Roman"/>
        <family val="2"/>
        <charset val="204"/>
      </rPr>
      <t xml:space="preserve"> МБУ "Централизованная библиотечная система" на 2022 год</t>
    </r>
  </si>
  <si>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rFont val="Times New Roman"/>
        <family val="2"/>
        <charset val="204"/>
      </rPr>
      <t>МБУК "Городской центр культуры" на 2021 год с учетом Снежногорского филиала</t>
    </r>
  </si>
  <si>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rFont val="Times New Roman"/>
        <family val="2"/>
        <charset val="204"/>
      </rPr>
      <t>МБУК "Городской центр культуры" на 2022 год с учетом Снежногорского филиала</t>
    </r>
  </si>
  <si>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color indexed="8"/>
        <rFont val="Times New Roman"/>
        <family val="1"/>
        <charset val="204"/>
      </rPr>
      <t xml:space="preserve"> МБУК "КДЦ "Юбилейный" на 2021 год</t>
    </r>
  </si>
  <si>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color indexed="8"/>
        <rFont val="Times New Roman"/>
        <family val="1"/>
        <charset val="204"/>
      </rPr>
      <t xml:space="preserve"> МБУК "КДЦ "Юбилейный" на 2022 год</t>
    </r>
  </si>
  <si>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color indexed="8"/>
        <rFont val="Times New Roman"/>
        <family val="1"/>
        <charset val="204"/>
      </rPr>
      <t xml:space="preserve"> МБУК "КДЦ им. В. Высоцкого" на 2021 год</t>
    </r>
  </si>
  <si>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color indexed="8"/>
        <rFont val="Times New Roman"/>
        <family val="1"/>
        <charset val="204"/>
      </rPr>
      <t xml:space="preserve"> МБУК "КДЦ им. В. Высоцкого" на 2022 год</t>
    </r>
  </si>
  <si>
    <t>Расчетные значения на 2019 год</t>
  </si>
  <si>
    <t>И.А. Шикера</t>
  </si>
  <si>
    <t>И. А. Шикера</t>
  </si>
  <si>
    <t xml:space="preserve">Управление по делам культуры и искусства Администрации города Норильска </t>
  </si>
  <si>
    <t>Расчет затрат на оплату труда, страховые взносы, на оплату стоимости проезда и провоза багажа к месту использования отпуска и обратно на 2020 год</t>
  </si>
  <si>
    <t>СВОД КУЛЬТУРА</t>
  </si>
  <si>
    <t>213 персонал вывел на 0</t>
  </si>
  <si>
    <t>Краевые</t>
  </si>
  <si>
    <t>Персонал</t>
  </si>
  <si>
    <t>Отклонение значений УП от УК</t>
  </si>
  <si>
    <t>Наименование расходов</t>
  </si>
  <si>
    <t>Наименование учреждения</t>
  </si>
  <si>
    <t>Наименование</t>
  </si>
  <si>
    <t>мес.</t>
  </si>
  <si>
    <t>Наименование услуги</t>
  </si>
  <si>
    <t>Ед. изм.</t>
  </si>
  <si>
    <t>шт.</t>
  </si>
  <si>
    <t>чел.</t>
  </si>
  <si>
    <t>Наименование показателя</t>
  </si>
  <si>
    <t>Код строки</t>
  </si>
  <si>
    <t>Сумма, руб.</t>
  </si>
  <si>
    <t>(текущий финансовый год)</t>
  </si>
  <si>
    <t>(первый год планового периода)</t>
  </si>
  <si>
    <t>(второй год планового периода)</t>
  </si>
  <si>
    <t>Задолженность перед персоналом по оплате труда (кредиторская задолженность) на начало года</t>
  </si>
  <si>
    <t>Задолженность персонала по полученным авансам (дебиторская задолженность) на начало года</t>
  </si>
  <si>
    <t>Фонд оплаты труда</t>
  </si>
  <si>
    <t>Задолженность перед персоналом по оплате труда (кредиторская задолженность) на конец года</t>
  </si>
  <si>
    <t>Задолженность персонала по полученным авансам (дебиторская задолженность) на конец года</t>
  </si>
  <si>
    <t>на 2022 г.</t>
  </si>
  <si>
    <t>Задолженность по обязательствам (кредиторская задолженность) на начало года</t>
  </si>
  <si>
    <t>Сумма излишне уплаченных либо излишне взысканных страховых взносов (дебиторская задолженность) на начало года</t>
  </si>
  <si>
    <t>Страховые взносы на обязательное социальное страхование</t>
  </si>
  <si>
    <t>Задолженность по уплате страховых взносов (кредиторская задолженность) на конец года</t>
  </si>
  <si>
    <t>Сумма излишне уплаченных либо излишне взысканных страховых взносов (дебиторская задолженность) на конец года</t>
  </si>
  <si>
    <t>Задолженность по принятым и неисполненным обязательствам, полученные предварительные платежи (авансы) по контрактам (договорам) (кредиторская задолженность) на начало года</t>
  </si>
  <si>
    <t>Произведенные предварительные платежи (авансы) по контрактам (договорам) (дебиторская задолженность) на начало года</t>
  </si>
  <si>
    <t>Расходы на закупку товаров, работ и услуг, всего</t>
  </si>
  <si>
    <t>в том числе:</t>
  </si>
  <si>
    <t>услуги связи</t>
  </si>
  <si>
    <t>транспортные услуги</t>
  </si>
  <si>
    <t>коммунальные услуги</t>
  </si>
  <si>
    <t>аренда имущества</t>
  </si>
  <si>
    <t>приобретение объектов движимого имущества</t>
  </si>
  <si>
    <t>Задолженность по принятым и неисполненным обязательствам, полученные предварительные платежи (авансы) по контрактам (договорам) (кредиторская задолженность) на конец года</t>
  </si>
  <si>
    <t>Произведенные предварительные платежи (авансы) по контрактам (договорам) (дебиторская задолженность) на конец года</t>
  </si>
  <si>
    <t>прочие расходы</t>
  </si>
  <si>
    <t>приобретение (изготовление) подарочной и сувенирной продукции</t>
  </si>
  <si>
    <t>иные расходы</t>
  </si>
  <si>
    <t>Иные выплаты персоналу учреждений, за исключением фонда оплаты труда</t>
  </si>
  <si>
    <t>Возмещение работникам (сотрудникам) расходов, связанных со служебными командировками (суточные при служебных командировках)</t>
  </si>
  <si>
    <t>Оплата стоимости проезда к месту отдыха и обратно</t>
  </si>
  <si>
    <t>Возмещение расходов на прохождение медицинского осмотра</t>
  </si>
  <si>
    <t>Возмещение расходов, связанных со служебными командировками (проживание в служебных командировках)</t>
  </si>
  <si>
    <t>Задолженность перед персоналом по иным выплатам персоналу учреждений, за исключением фонда оплаты труда"  (кредиторская задолженность) на начало года</t>
  </si>
  <si>
    <t>Задолженность перед персоналом по иным выплатам персоналу учреждений, за исключением фонда оплаты труда"  (кредиторская задолженность) на конец года</t>
  </si>
  <si>
    <t>Планируемые иные выплаты персоналу учреждений, за исключением фонда оплаты труда (с. 0100 - с. 0200 + с. 0300 - с. 0400 + с. 0500)</t>
  </si>
  <si>
    <t>919</t>
  </si>
  <si>
    <t>Задолженность (кредиторская задолженность) на начало года</t>
  </si>
  <si>
    <t>Задолженность  (дебиторская задолженность) на начало года</t>
  </si>
  <si>
    <t>Иные выплаты, за исключением фонда оплаты труда учреждений, лицам, привлекаемым согласно законодательству для выполнения отдельных полномочий</t>
  </si>
  <si>
    <t>Выплата суточных, а также денежных средств на питание (при невозможности приобретения услуг по его организации), а также компенсация расходов на проезд и проживание в жилых помещениях (найм жилого помещения) спортсменам и студентам при их направлении на различного рода мероприятия (соревнования, олимпиады, учебную практику и иные мероприятия) и приглашенным лицам</t>
  </si>
  <si>
    <t>Задолженность (кредиторская задолженность) на конец года</t>
  </si>
  <si>
    <t>Задолженность (дебиторская задолженность) на конец года</t>
  </si>
  <si>
    <t>966</t>
  </si>
  <si>
    <t>Задолженность(кредиторская задолженность) на начало года</t>
  </si>
  <si>
    <t>Задолженность(дебиторская задолженность) на начало года</t>
  </si>
  <si>
    <t>кто</t>
  </si>
  <si>
    <t>вневедомственная охрана, охранная и пожарная сигнализация</t>
  </si>
  <si>
    <t>Вознаграждение по договорам ГПХ с учетом страховых взносов</t>
  </si>
  <si>
    <t>из них:</t>
  </si>
  <si>
    <t>обращение с твердыми коммунальными отходами</t>
  </si>
  <si>
    <t>За пределами планового периода</t>
  </si>
  <si>
    <t>Задолженность по доходам (дебиторская задолженность по доходам) на начало года</t>
  </si>
  <si>
    <t>Полученные предварительные платежи (авансы) по контрактам (договорам) (кредиторская задолженность по доходам) на начало года</t>
  </si>
  <si>
    <t>Доходы от собственности, всего</t>
  </si>
  <si>
    <t>доходы, получаемые в виде арендной либо иной платы за передачу в возмездное пользование муниципального имущества</t>
  </si>
  <si>
    <t>плата по соглашениям об установлении сервитута</t>
  </si>
  <si>
    <t>доходы в виде процентов по депозитам автономных учреждений в кредитных организациях</t>
  </si>
  <si>
    <t>доходы в виде процентов по остаткам средств на счетах автономных учреждений в кредитных организациях</t>
  </si>
  <si>
    <t>проценты, полученные от предоставления займов</t>
  </si>
  <si>
    <t>проценты по иным финансовым инструментам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</si>
  <si>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учреждению</t>
  </si>
  <si>
    <t>доходы от распоряжения правами на результаты интеллектуальной деятельности и средствами индивидуализации</t>
  </si>
  <si>
    <t>прочие поступления от использования имущества, находящегося в оперативном управлении учреждения</t>
  </si>
  <si>
    <t>Задолженность по доходам (дебиторская задолженность по доходам) на конец года</t>
  </si>
  <si>
    <t>Полученные предварительные платежи (авансы) по контрактам (договорам) (кредиторская задолженность по доходам) на конец года</t>
  </si>
  <si>
    <t>(наименование учреждения)</t>
  </si>
  <si>
    <t>х</t>
  </si>
  <si>
    <t>Доходы от оказания услуг, работ, компенсации затрат учреждений, всего</t>
  </si>
  <si>
    <t>доходы от оказания услуг, выполнения работ в рамках установленного муниципального задания</t>
  </si>
  <si>
    <t>доходы от оказания услуг, выполнения работ за плату сверх установленного муниципального задания и иной приносящей доход деятельности, предусмотренной уставом учреждения</t>
  </si>
  <si>
    <t>доходы, поступающие в порядке возмещения расходов, понесенных в связи с эксплуатацией имущества, находящегося в оперативном управлении учреждения</t>
  </si>
  <si>
    <t>Общий объем планируемых поступлений, руб.</t>
  </si>
  <si>
    <t>Главный бухгалтер</t>
  </si>
  <si>
    <t>Исполнитель</t>
  </si>
  <si>
    <t>Излишне полученные либо взысканные платежи (кредиторская задолженность по доходам) на начало года</t>
  </si>
  <si>
    <t>Доходы от штрафов, пеней, иных сумм принудительного изъятия, всего</t>
  </si>
  <si>
    <t>штрафы</t>
  </si>
  <si>
    <t>пени</t>
  </si>
  <si>
    <t>суммы принудительного изъятия</t>
  </si>
  <si>
    <t>Излишне полученные либо взысканные платежи (кредиторская задолженность по доходам) на конец года</t>
  </si>
  <si>
    <t>Безвозмездные денежные поступления, всего</t>
  </si>
  <si>
    <t>поступления текущего характера от других бюджетов бюджетной системы РФ</t>
  </si>
  <si>
    <t>поступления текущего характера бюджетным и автономным учреждениям от сектора государственного управления</t>
  </si>
  <si>
    <t>поступления текущего характера от организаций государственног сектора</t>
  </si>
  <si>
    <t>поступления текущего характера от иных резидентов (за исключением сектора государственного управления и организаций государственного сектора</t>
  </si>
  <si>
    <t>Наименование получателя грантов и пожертвований</t>
  </si>
  <si>
    <t>Наименование отправителя грантов и пожертвований</t>
  </si>
  <si>
    <t>Предмет договора</t>
  </si>
  <si>
    <t>Цели и мероприятия поступивших грантов и пожертвований</t>
  </si>
  <si>
    <t>Доходы прочие, всего</t>
  </si>
  <si>
    <t>целевые субсидии</t>
  </si>
  <si>
    <t>субсидии на осуществление капитальных вложений</t>
  </si>
  <si>
    <t>Увеличение остатков денежных средств за счет возврата дебиторской задолженности прошлых лет по статье 510 "Прочие поступления".</t>
  </si>
  <si>
    <t>Увеличение остатков денежных средств за счет возврата залоговых платежей, задатков, всего</t>
  </si>
  <si>
    <t>Увеличение остатков денежных средств за счет возврата ранее выплаченных авансов, всего</t>
  </si>
  <si>
    <t>Увеличение остатков дненежных средств за счет возврата сумм, ранее размещенных на депозитных счетах, всего</t>
  </si>
  <si>
    <t>Безвозмездные поступления</t>
  </si>
  <si>
    <t>уплата налогов, сборов и иных платежей</t>
  </si>
  <si>
    <t>Налоги, пошлины и сборы</t>
  </si>
  <si>
    <t>Штрафы за нарушение законодательства о налогах и сборах, законодательства о страховых взносах</t>
  </si>
  <si>
    <t>Другие экономические санкции</t>
  </si>
  <si>
    <t>Возмещение убытков и вреда</t>
  </si>
  <si>
    <t>Иные расходы</t>
  </si>
  <si>
    <t>Раздел 1. Поступления и выплаты</t>
  </si>
  <si>
    <t>текущий финансовый год</t>
  </si>
  <si>
    <t>0001</t>
  </si>
  <si>
    <t>0002</t>
  </si>
  <si>
    <t>Доходы, всего:</t>
  </si>
  <si>
    <t>1000</t>
  </si>
  <si>
    <t>в том числе:
доходы от собственности, всего</t>
  </si>
  <si>
    <t>1100</t>
  </si>
  <si>
    <t>1110</t>
  </si>
  <si>
    <t>доходы от оказания услуг, работ, компенсации затрат учреждений, всего</t>
  </si>
  <si>
    <t>130</t>
  </si>
  <si>
    <t>доходы от штрафов, пеней, иных сумм принудительного изъятия, всего</t>
  </si>
  <si>
    <t>безвозмездные денежные поступления, всего</t>
  </si>
  <si>
    <t>прочие доходы, всего</t>
  </si>
  <si>
    <t>150</t>
  </si>
  <si>
    <t>увеличение остатков денежных средств за счет возврата дебиторской задолженности прошлых лет</t>
  </si>
  <si>
    <t>510</t>
  </si>
  <si>
    <t>Расходы, всего</t>
  </si>
  <si>
    <t>прочие выплаты персоналу, в том числе компенсационного характера</t>
  </si>
  <si>
    <t>иные выплаты, за исключением фонда оплаты труда учреждения, для выполнения отдельных полномочий</t>
  </si>
  <si>
    <t>взносы по обязательному социальному страхованию на выплаты по оплате труда работников и иные выплаты работникам учреждений, всего</t>
  </si>
  <si>
    <t>на иные выплаты работникам</t>
  </si>
  <si>
    <t>социальные и иные выплаты населению, всего</t>
  </si>
  <si>
    <t>уплата налогов, сборов и иных платежей, всего</t>
  </si>
  <si>
    <t>из них:
налог на имущество организаций и земельный налог</t>
  </si>
  <si>
    <t>иные налоги (включаемые в состав расходов) в бюджеты бюджетной системы Российской Федерации, а также государственная пошлина</t>
  </si>
  <si>
    <t>уплата штрафов (в том числе административных), пеней, иных платежей</t>
  </si>
  <si>
    <t>безвозмездные перечисления организациям и физическим лицам, всего</t>
  </si>
  <si>
    <t>взносы в международные организации</t>
  </si>
  <si>
    <t>прочие выплаты (кроме выплат на закупку товаров, работ, услуг)</t>
  </si>
  <si>
    <t>исполнение судебных актов Российской Федерации и мировых соглашений по возмещению вреда, причиненного в результате деятельности учреждения</t>
  </si>
  <si>
    <t>закупку товаров, работ, услуг в целях капитального ремонта государственного (муниципального) имущества</t>
  </si>
  <si>
    <t>из них:
возврат в бюджет средств субсидии</t>
  </si>
  <si>
    <t>за пределами планового периода</t>
  </si>
  <si>
    <t>1</t>
  </si>
  <si>
    <t>2</t>
  </si>
  <si>
    <t>3</t>
  </si>
  <si>
    <t>4</t>
  </si>
  <si>
    <t>5</t>
  </si>
  <si>
    <t>6</t>
  </si>
  <si>
    <t>7</t>
  </si>
  <si>
    <t>8</t>
  </si>
  <si>
    <t>КОСГУ</t>
  </si>
  <si>
    <t>226</t>
  </si>
  <si>
    <t>213</t>
  </si>
  <si>
    <t>992</t>
  </si>
  <si>
    <t>991</t>
  </si>
  <si>
    <t>265</t>
  </si>
  <si>
    <t>917</t>
  </si>
  <si>
    <t>291</t>
  </si>
  <si>
    <t>967</t>
  </si>
  <si>
    <t>000</t>
  </si>
  <si>
    <t>297</t>
  </si>
  <si>
    <t>965</t>
  </si>
  <si>
    <t>Специальность (инструменты)</t>
  </si>
  <si>
    <t>Кол-во детей ВСЕГО</t>
  </si>
  <si>
    <t>Из них получающие льготы по оплате:</t>
  </si>
  <si>
    <t>Дети-инвалиды</t>
  </si>
  <si>
    <t>Дети, обучающиеся на 2-х отделениях</t>
  </si>
  <si>
    <t xml:space="preserve">Один ребенок из семей, другие дети которых обучаются с ним
</t>
  </si>
  <si>
    <t>Кол-во детей</t>
  </si>
  <si>
    <t xml:space="preserve">Процент льготы </t>
  </si>
  <si>
    <t>Сумма льготы</t>
  </si>
  <si>
    <t>Процент льготы</t>
  </si>
  <si>
    <t>усл.ед.</t>
  </si>
  <si>
    <t>Количество, ед.</t>
  </si>
  <si>
    <t>Средняя стоимость, руб.ед.</t>
  </si>
  <si>
    <t>Доходы</t>
  </si>
  <si>
    <t>план на 2022 год</t>
  </si>
  <si>
    <t xml:space="preserve">Культурно - досуговые мероприятия </t>
  </si>
  <si>
    <t>первый год планового периода</t>
  </si>
  <si>
    <t>второй год планового периода</t>
  </si>
  <si>
    <r>
      <t>Планируемые поступления доходов от оказания услуг, компенсации затрат учреждения (</t>
    </r>
    <r>
      <rPr>
        <b/>
        <sz val="11"/>
        <color indexed="12"/>
        <rFont val="Times New Roman"/>
        <family val="1"/>
        <charset val="204"/>
      </rPr>
      <t>с. 0100</t>
    </r>
    <r>
      <rPr>
        <b/>
        <sz val="11"/>
        <color indexed="8"/>
        <rFont val="Times New Roman"/>
        <family val="1"/>
        <charset val="204"/>
      </rPr>
      <t xml:space="preserve"> - </t>
    </r>
    <r>
      <rPr>
        <b/>
        <sz val="11"/>
        <color indexed="12"/>
        <rFont val="Times New Roman"/>
        <family val="1"/>
        <charset val="204"/>
      </rPr>
      <t>с. 0200</t>
    </r>
    <r>
      <rPr>
        <b/>
        <sz val="11"/>
        <color indexed="8"/>
        <rFont val="Times New Roman"/>
        <family val="1"/>
        <charset val="204"/>
      </rPr>
      <t xml:space="preserve"> + </t>
    </r>
    <r>
      <rPr>
        <b/>
        <sz val="11"/>
        <color indexed="12"/>
        <rFont val="Times New Roman"/>
        <family val="1"/>
        <charset val="204"/>
      </rPr>
      <t>с. 0300</t>
    </r>
    <r>
      <rPr>
        <b/>
        <sz val="11"/>
        <color indexed="8"/>
        <rFont val="Times New Roman"/>
        <family val="1"/>
        <charset val="204"/>
      </rPr>
      <t xml:space="preserve"> - </t>
    </r>
    <r>
      <rPr>
        <b/>
        <sz val="11"/>
        <color indexed="12"/>
        <rFont val="Times New Roman"/>
        <family val="1"/>
        <charset val="204"/>
      </rPr>
      <t>с. 0400</t>
    </r>
    <r>
      <rPr>
        <b/>
        <sz val="11"/>
        <color indexed="8"/>
        <rFont val="Times New Roman"/>
        <family val="1"/>
        <charset val="204"/>
      </rPr>
      <t xml:space="preserve"> + </t>
    </r>
    <r>
      <rPr>
        <b/>
        <sz val="11"/>
        <color indexed="12"/>
        <rFont val="Times New Roman"/>
        <family val="1"/>
        <charset val="204"/>
      </rPr>
      <t>с. 0500</t>
    </r>
    <r>
      <rPr>
        <b/>
        <sz val="11"/>
        <color indexed="8"/>
        <rFont val="Times New Roman"/>
        <family val="1"/>
        <charset val="204"/>
      </rPr>
      <t>)</t>
    </r>
  </si>
  <si>
    <t>гранты, предоставляемые автономным учреждениям</t>
  </si>
  <si>
    <t>возврат фонда социального страхования</t>
  </si>
  <si>
    <t>180</t>
  </si>
  <si>
    <t>Абонентский номер индивидуального пользования (основной телефонный аппарат)</t>
  </si>
  <si>
    <t>Прочие поступления денежных средств, всего</t>
  </si>
  <si>
    <t>на 2023 г.</t>
  </si>
  <si>
    <t>план на 2023 год</t>
  </si>
  <si>
    <t>договор</t>
  </si>
  <si>
    <t>Гкал</t>
  </si>
  <si>
    <t>Горячее в/снабжение (компонент на тепловую энергию)</t>
  </si>
  <si>
    <t>Отопление</t>
  </si>
  <si>
    <t>Горячее в/снабжение (компонент на теплоноситель)</t>
  </si>
  <si>
    <t>Водоотведение</t>
  </si>
  <si>
    <r>
      <t>Планируемые поступления доходов от штрафов, пеней, иных сумм принудительного изъятия (</t>
    </r>
    <r>
      <rPr>
        <b/>
        <sz val="11"/>
        <color indexed="12"/>
        <rFont val="Times New Roman"/>
        <family val="1"/>
        <charset val="204"/>
      </rPr>
      <t>с. 0100</t>
    </r>
    <r>
      <rPr>
        <b/>
        <sz val="11"/>
        <color indexed="8"/>
        <rFont val="Times New Roman"/>
        <family val="1"/>
        <charset val="204"/>
      </rPr>
      <t xml:space="preserve"> - </t>
    </r>
    <r>
      <rPr>
        <b/>
        <sz val="11"/>
        <color indexed="12"/>
        <rFont val="Times New Roman"/>
        <family val="1"/>
        <charset val="204"/>
      </rPr>
      <t>с. 0200</t>
    </r>
    <r>
      <rPr>
        <b/>
        <sz val="11"/>
        <color indexed="8"/>
        <rFont val="Times New Roman"/>
        <family val="1"/>
        <charset val="204"/>
      </rPr>
      <t xml:space="preserve"> + </t>
    </r>
    <r>
      <rPr>
        <b/>
        <sz val="11"/>
        <color indexed="12"/>
        <rFont val="Times New Roman"/>
        <family val="1"/>
        <charset val="204"/>
      </rPr>
      <t>с. 0300</t>
    </r>
    <r>
      <rPr>
        <b/>
        <sz val="11"/>
        <color indexed="8"/>
        <rFont val="Times New Roman"/>
        <family val="1"/>
        <charset val="204"/>
      </rPr>
      <t xml:space="preserve"> - </t>
    </r>
    <r>
      <rPr>
        <b/>
        <sz val="11"/>
        <color indexed="12"/>
        <rFont val="Times New Roman"/>
        <family val="1"/>
        <charset val="204"/>
      </rPr>
      <t>с. 0400</t>
    </r>
    <r>
      <rPr>
        <b/>
        <sz val="11"/>
        <color indexed="8"/>
        <rFont val="Times New Roman"/>
        <family val="1"/>
        <charset val="204"/>
      </rPr>
      <t xml:space="preserve"> + </t>
    </r>
    <r>
      <rPr>
        <b/>
        <sz val="11"/>
        <color indexed="12"/>
        <rFont val="Times New Roman"/>
        <family val="1"/>
        <charset val="204"/>
      </rPr>
      <t>с. 0500</t>
    </r>
    <r>
      <rPr>
        <b/>
        <sz val="11"/>
        <color indexed="8"/>
        <rFont val="Times New Roman"/>
        <family val="1"/>
        <charset val="204"/>
      </rPr>
      <t>)</t>
    </r>
  </si>
  <si>
    <t>Техническое обслуживание  АУТВР</t>
  </si>
  <si>
    <t>Дератизация и дезинсекция помещений</t>
  </si>
  <si>
    <t>Мерзлотно - технический надзор за зданием</t>
  </si>
  <si>
    <t>Тревожная сигнализация</t>
  </si>
  <si>
    <t>Охрана физическая</t>
  </si>
  <si>
    <t>Обучение пожарно-техническому минимуму</t>
  </si>
  <si>
    <t>Гигиеническое обучение сотрудников</t>
  </si>
  <si>
    <t>120</t>
  </si>
  <si>
    <t>закупку энергетических ресурсов</t>
  </si>
  <si>
    <t>Всего:</t>
  </si>
  <si>
    <t>доходы от операций с активами, всего</t>
  </si>
  <si>
    <t>выплата стипендий, осуществление иных расходов на социальную поддержку обучающихся за счет средств стипендиального фонда</t>
  </si>
  <si>
    <t>иные выплаты населению</t>
  </si>
  <si>
    <t>гранты, предоставляемые другим организациям и физическим лицам</t>
  </si>
  <si>
    <t>платежи в целях обеспечения реализации соглашений с правительствами иностранных государств и международными организациями</t>
  </si>
  <si>
    <t>2024 год</t>
  </si>
  <si>
    <t>на 2024 г.</t>
  </si>
  <si>
    <t>Планируемые на очередной финансовый год доходы от оказания платных услуг на 2022 -2024 годы</t>
  </si>
  <si>
    <t>план на 2024 год</t>
  </si>
  <si>
    <t>Очистка кровель от снега и наледи</t>
  </si>
  <si>
    <t>0100</t>
  </si>
  <si>
    <t>0200</t>
  </si>
  <si>
    <t>0300</t>
  </si>
  <si>
    <t>0310</t>
  </si>
  <si>
    <t>0320</t>
  </si>
  <si>
    <t>0330</t>
  </si>
  <si>
    <t>0340</t>
  </si>
  <si>
    <t>0350</t>
  </si>
  <si>
    <t>0360</t>
  </si>
  <si>
    <t>0370</t>
  </si>
  <si>
    <t>0380</t>
  </si>
  <si>
    <t>0390</t>
  </si>
  <si>
    <t>0400</t>
  </si>
  <si>
    <t>0500</t>
  </si>
  <si>
    <t>0600</t>
  </si>
  <si>
    <t>Планируемые поступления доходов от собственности (с. 0100 - с. 0200 + с. 0300 - с. 0400 + с. 0500)</t>
  </si>
  <si>
    <t>0201</t>
  </si>
  <si>
    <t>0101</t>
  </si>
  <si>
    <t>Обоснование (расчет) средств на возмещение расходов по комплексному техническому обслуживанию, коммунальным услугам, электроэнергии по возмездным договорам аренды имущества на 2022-2024 годы</t>
  </si>
  <si>
    <t>Вид возмещаемых расходов</t>
  </si>
  <si>
    <t>Средняя плата (тариф) за месяц услуги (работы), руб.</t>
  </si>
  <si>
    <t>Количество месяцев, планируемые к возмещению</t>
  </si>
  <si>
    <t>002</t>
  </si>
  <si>
    <t>0313</t>
  </si>
  <si>
    <t>0316</t>
  </si>
  <si>
    <t>0301</t>
  </si>
  <si>
    <t>0401</t>
  </si>
  <si>
    <t>0302</t>
  </si>
  <si>
    <t>0303</t>
  </si>
  <si>
    <t>0304</t>
  </si>
  <si>
    <t>0306</t>
  </si>
  <si>
    <t>0307</t>
  </si>
  <si>
    <t>0305</t>
  </si>
  <si>
    <t>0314</t>
  </si>
  <si>
    <t>0318</t>
  </si>
  <si>
    <t>0319</t>
  </si>
  <si>
    <t>Возврат оплаты проезда</t>
  </si>
  <si>
    <t>14</t>
  </si>
  <si>
    <t xml:space="preserve"> м3</t>
  </si>
  <si>
    <t>2025 год</t>
  </si>
  <si>
    <t>на 2025 г.</t>
  </si>
  <si>
    <t>Обоснование (расчет) плановых показателей по выплатам по элементу вида расходов классификации расходов бюджетов 111 "Фонд оплаты труда учреждений"</t>
  </si>
  <si>
    <t>Обоснование (расчет) плановых показателей по выплатам по элементу вида расходов классификации расходов бюджетов 119 «взносы по обязательному социальному страхованию на выплаты по оплате труда работников и иные выплаты работникам учреждений»</t>
  </si>
  <si>
    <t>Обоснование (расчет) плановых показателей по выплатам по элементу вида расходов классификации расходов бюджетов 112 "Иные выплаты персоналу учреждений, за исключением фонда оплаты труда"</t>
  </si>
  <si>
    <t>Код по бюджетной классификации Российской Федерации</t>
  </si>
  <si>
    <t>Аналитический код</t>
  </si>
  <si>
    <t>Код субсидии</t>
  </si>
  <si>
    <t>Отраслевой код</t>
  </si>
  <si>
    <t>КВФО</t>
  </si>
  <si>
    <t>Аналитическая группа</t>
  </si>
  <si>
    <t>КФСР</t>
  </si>
  <si>
    <t>КЦСР</t>
  </si>
  <si>
    <t>9</t>
  </si>
  <si>
    <t>10</t>
  </si>
  <si>
    <t>11</t>
  </si>
  <si>
    <t>12</t>
  </si>
  <si>
    <t>13</t>
  </si>
  <si>
    <t>15</t>
  </si>
  <si>
    <t>Остаток средств на начало текущего финансового года</t>
  </si>
  <si>
    <t>Остаток средств на конец текущего финансового года</t>
  </si>
  <si>
    <t>0000000000</t>
  </si>
  <si>
    <t>0</t>
  </si>
  <si>
    <t>0000</t>
  </si>
  <si>
    <t xml:space="preserve">        Доходы в виде процентов по остаткам средств на счетах автономных учреждений в кредитных организациях</t>
  </si>
  <si>
    <t>1130</t>
  </si>
  <si>
    <t>0000000000000000000000810</t>
  </si>
  <si>
    <t xml:space="preserve">        Доходы в виде процентов по депозитам автономных учреждений в кредитных организациях</t>
  </si>
  <si>
    <t>1120</t>
  </si>
  <si>
    <t xml:space="preserve">        Доходы, получаемые в виде арендной либо иной платы за передачу в возмездное пользование муниципального имущества</t>
  </si>
  <si>
    <t>1200</t>
  </si>
  <si>
    <t>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</si>
  <si>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1210</t>
  </si>
  <si>
    <t>131</t>
  </si>
  <si>
    <t>0703</t>
  </si>
  <si>
    <t>1220</t>
  </si>
  <si>
    <t>прочие поступления</t>
  </si>
  <si>
    <t>1230</t>
  </si>
  <si>
    <t>1300</t>
  </si>
  <si>
    <t>140</t>
  </si>
  <si>
    <t xml:space="preserve">    Доходы от штрафов, пеней, иных сумм принудительного изъятия, всего</t>
  </si>
  <si>
    <t>1400</t>
  </si>
  <si>
    <t>1410</t>
  </si>
  <si>
    <t>1420</t>
  </si>
  <si>
    <t>1430</t>
  </si>
  <si>
    <t>1500</t>
  </si>
  <si>
    <t xml:space="preserve">    Прочие доходы, всего</t>
  </si>
  <si>
    <t>0000000000000000000000000</t>
  </si>
  <si>
    <t>1900</t>
  </si>
  <si>
    <t>прочие поступления, всего</t>
  </si>
  <si>
    <t>1980</t>
  </si>
  <si>
    <t>1981</t>
  </si>
  <si>
    <t>Поступление финансовых активов, всего</t>
  </si>
  <si>
    <t>Поступления от доходов, всего</t>
  </si>
  <si>
    <t xml:space="preserve">    Доходы от операций с активами, всего</t>
  </si>
  <si>
    <t>2000</t>
  </si>
  <si>
    <t>в том числе:
на выплаты персоналу, всего</t>
  </si>
  <si>
    <t>2100</t>
  </si>
  <si>
    <t>в том числе:
оплата труда</t>
  </si>
  <si>
    <t>2110</t>
  </si>
  <si>
    <t>111</t>
  </si>
  <si>
    <t>2120</t>
  </si>
  <si>
    <t>112</t>
  </si>
  <si>
    <t>2130</t>
  </si>
  <si>
    <t>113</t>
  </si>
  <si>
    <t>2140</t>
  </si>
  <si>
    <t>119</t>
  </si>
  <si>
    <t>в том числе:
на выплаты по оплате труда</t>
  </si>
  <si>
    <t>2141</t>
  </si>
  <si>
    <t>2142</t>
  </si>
  <si>
    <t>денежное довольствие военнослужащих и сотрудников, имеющих специальные звания</t>
  </si>
  <si>
    <t>2150</t>
  </si>
  <si>
    <t>расходы на выплаты военнослужащим и сотрудникам, имеющим специальные звания, зависящие от размера денежного довольствия</t>
  </si>
  <si>
    <t>2160</t>
  </si>
  <si>
    <t>133</t>
  </si>
  <si>
    <t>иные выплаты военнослужащим и сотрудникам, имеющим специальные звания</t>
  </si>
  <si>
    <t>2170</t>
  </si>
  <si>
    <t>134</t>
  </si>
  <si>
    <t>страховые взносы на обязательное социальное страхование в части выплат персоналу, подлежащих обложению страховыми взносами</t>
  </si>
  <si>
    <t>2180</t>
  </si>
  <si>
    <t>139</t>
  </si>
  <si>
    <t>в том числе:
на оплату труда стажеров</t>
  </si>
  <si>
    <t>2181</t>
  </si>
  <si>
    <t>2200</t>
  </si>
  <si>
    <t>300</t>
  </si>
  <si>
    <t>в том числе:
социальные выплаты гражданам, кроме публичных нормативных социальных выплат</t>
  </si>
  <si>
    <t>2210</t>
  </si>
  <si>
    <t>320</t>
  </si>
  <si>
    <t>из них:
пособия, компенсации и иные социальные выплаты гражданам, кроме публичных нормативных обязательств</t>
  </si>
  <si>
    <t>2211</t>
  </si>
  <si>
    <t>321</t>
  </si>
  <si>
    <t>0850000600</t>
  </si>
  <si>
    <t xml:space="preserve">            Приобретение товаров, работ и услуг в пользу граждан в целях их социального обеспечения</t>
  </si>
  <si>
    <t>2212</t>
  </si>
  <si>
    <t>323</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</si>
  <si>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</si>
  <si>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</si>
  <si>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</si>
  <si>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</si>
  <si>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</si>
  <si>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2240</t>
  </si>
  <si>
    <t>360</t>
  </si>
  <si>
    <t>2300</t>
  </si>
  <si>
    <t>850</t>
  </si>
  <si>
    <t>2310</t>
  </si>
  <si>
    <t>851</t>
  </si>
  <si>
    <t>2320</t>
  </si>
  <si>
    <t>852</t>
  </si>
  <si>
    <t>2330</t>
  </si>
  <si>
    <t>853</t>
  </si>
  <si>
    <t>2400</t>
  </si>
  <si>
    <t>из них:
гранты, предоставляемые бюджетным учреждения</t>
  </si>
  <si>
    <t>2410</t>
  </si>
  <si>
    <t>613</t>
  </si>
  <si>
    <t>2420</t>
  </si>
  <si>
    <t>623</t>
  </si>
  <si>
    <t>гранты, предоставляемые иным некоммерческим организациям ( за исключением автономных и бюджетных учреждений)</t>
  </si>
  <si>
    <t>2430</t>
  </si>
  <si>
    <t>624</t>
  </si>
  <si>
    <t>2440</t>
  </si>
  <si>
    <t>810</t>
  </si>
  <si>
    <t>2450</t>
  </si>
  <si>
    <t>862</t>
  </si>
  <si>
    <t>2460</t>
  </si>
  <si>
    <t>863</t>
  </si>
  <si>
    <t>2500</t>
  </si>
  <si>
    <t>2520</t>
  </si>
  <si>
    <t>831</t>
  </si>
  <si>
    <t>расходы на закупку товаров, работ, услуг, всего</t>
  </si>
  <si>
    <t>2600</t>
  </si>
  <si>
    <t>в том числе:
закупку научно-исследовательских, опытно-конструкторских технологических работ</t>
  </si>
  <si>
    <t>2610</t>
  </si>
  <si>
    <t>241</t>
  </si>
  <si>
    <t>2630</t>
  </si>
  <si>
    <t>243</t>
  </si>
  <si>
    <t>прочую закупку товаров, работ и услуг</t>
  </si>
  <si>
    <t>2640</t>
  </si>
  <si>
    <t>244</t>
  </si>
  <si>
    <t>закупку товаров, работ, услуг в целях создания, развития, эксплуатации и вывода из эксплуатации государственных информационных систем</t>
  </si>
  <si>
    <t>2650</t>
  </si>
  <si>
    <t>246</t>
  </si>
  <si>
    <t>2660</t>
  </si>
  <si>
    <t>247</t>
  </si>
  <si>
    <t>223</t>
  </si>
  <si>
    <t>капитальные вложения в объекты государственной (муниципальной) собственности, всего</t>
  </si>
  <si>
    <t>2670</t>
  </si>
  <si>
    <t>400</t>
  </si>
  <si>
    <t>в том числе:
приобретение объектов недвижимого имущества государственными (муниципальными) учреждениями</t>
  </si>
  <si>
    <t>2671</t>
  </si>
  <si>
    <t>406</t>
  </si>
  <si>
    <t>строительство (реконструкция) объектов недвижимого имущества государственными (муниципальными) учреждениями</t>
  </si>
  <si>
    <t>2672</t>
  </si>
  <si>
    <t>407</t>
  </si>
  <si>
    <t>специальные расходы</t>
  </si>
  <si>
    <t>2800</t>
  </si>
  <si>
    <t>880</t>
  </si>
  <si>
    <t>Выплаты, уменьшающие доход, всего</t>
  </si>
  <si>
    <t>3000</t>
  </si>
  <si>
    <t>100</t>
  </si>
  <si>
    <t>189</t>
  </si>
  <si>
    <t>в том числе:
налог на прибыль</t>
  </si>
  <si>
    <t>3010</t>
  </si>
  <si>
    <t>налог на добавленную стоимость</t>
  </si>
  <si>
    <t>3020</t>
  </si>
  <si>
    <t>прочие налоги, уменьшающие доход</t>
  </si>
  <si>
    <t>3030</t>
  </si>
  <si>
    <t>Прочие выплаты, всего</t>
  </si>
  <si>
    <t>4000</t>
  </si>
  <si>
    <t>610</t>
  </si>
  <si>
    <t>4010</t>
  </si>
  <si>
    <t>Выплаты по расходам, всего</t>
  </si>
  <si>
    <t xml:space="preserve">    Безвозмездные перечисления организациям</t>
  </si>
  <si>
    <t xml:space="preserve">        Гранты, предоставляемые иным некоммерческим организациям (за исключением автономных и бюджетных учреждений)</t>
  </si>
  <si>
    <t>634</t>
  </si>
  <si>
    <t>981   984  982  985  986</t>
  </si>
  <si>
    <t>Обоснование (расчет) плановых показателей по выплатам по элементу вида расходов классификации расходов бюджетов 113 "Иные выплаты, за исключением фонда оплаты труда учреждений, лицам, привлекаемым согласно законодательству для выполнения отдельных полномочий"</t>
  </si>
  <si>
    <t>Обоснование (расчет) плановых показателей по выплатам по элементу вида расходов классификации расходов бюджетов 244 «Прочая закупка товаров, работ и услуг»</t>
  </si>
  <si>
    <t>Обоснование (расчет) плановых показателей по выплатам по элементу вида расходов классификации расходов бюджетов 247 «Закупка энергетических ресурсов"</t>
  </si>
  <si>
    <t>Обоснование (расчет) плановых показателей по выплатам по элементу вида расходов классификации расходов бюджетов 321 "Пособия, компенсации и иные социальные выплаты гражданам, кроме публичных нормативных обязательств"</t>
  </si>
  <si>
    <t>Компенсация расходов, связанных с переездом из районов Крайнего Севера</t>
  </si>
  <si>
    <t>Безвозмездные поступления муниципальным бюджетным и автономным учреждениям  Доп ЭК 820</t>
  </si>
  <si>
    <t>Собственные доходы муниципальных бюджетных и автономных учреждений            Доп ЭК 810</t>
  </si>
  <si>
    <t>Безвозмездные поступления муниципальным бюджетным и автономным учреждениям      Доп ЭК 820</t>
  </si>
  <si>
    <t>Собственные доходы муниципальных бюджетных и автономных учреждений        Доп ЭК 810</t>
  </si>
  <si>
    <t>Собственные доходы муниципальных бюджетных и автономных учреждений             Доп ЭК 810</t>
  </si>
  <si>
    <t>КВР</t>
  </si>
  <si>
    <t xml:space="preserve">субсидии на финансовое обеспечение выполнения муниципального задания </t>
  </si>
  <si>
    <t>целевые субсидии капитального характера</t>
  </si>
  <si>
    <t>Утверждаю</t>
  </si>
  <si>
    <t>(наименование должности лица, утверждающего документ)</t>
  </si>
  <si>
    <t>(подпись)</t>
  </si>
  <si>
    <t>(расшифровка подписи)</t>
  </si>
  <si>
    <t>ПЛАН</t>
  </si>
  <si>
    <t>Коды</t>
  </si>
  <si>
    <t>Орган, осуществляющий</t>
  </si>
  <si>
    <t>Дата</t>
  </si>
  <si>
    <t>функции и полномочия учредителя: Управление по делам культуры и искусства Администрации города Норильска</t>
  </si>
  <si>
    <t>по Сводному реестру</t>
  </si>
  <si>
    <t>глава по БК</t>
  </si>
  <si>
    <t>ИНН</t>
  </si>
  <si>
    <t>Единица измерения: руб.</t>
  </si>
  <si>
    <t>КПП</t>
  </si>
  <si>
    <t>по ОКЕИ</t>
  </si>
  <si>
    <t>_____1_В случае утверждения закона (решения) о бюджете на текущий финансовый год и плановый период.</t>
  </si>
  <si>
    <t>_____2_Указывается дата подписания Плана, а в случае утверждения Плана уполномоченным лицом учреждения - дата утверждения Плана.</t>
  </si>
  <si>
    <t>_____3_В графе 3 отражаются:</t>
  </si>
  <si>
    <t>_____по строкам 1100 - 1900 - коды аналитической группы подвида доходов бюджетов классификации доходов бюджетов;</t>
  </si>
  <si>
    <t>_____по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</si>
  <si>
    <t>_____по строкам 2000 - 2652 - коды видов расходов бюджетов классификации расходов бюджетов;</t>
  </si>
  <si>
    <t>_____по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</si>
  <si>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_____по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</si>
  <si>
    <t>4.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</si>
  <si>
    <t>5.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</si>
  <si>
    <t>6.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</si>
  <si>
    <t>7. Показатель отражается со знаком "минус".</t>
  </si>
  <si>
    <t>доходы от возмещений Фондом социального страхования РФ</t>
  </si>
  <si>
    <t>Обоснование (расчет) плановых показателей по выплатам по элементу вида расходов классификации расходов бюджетов  850 "Уплата налогов, сборов и иных платежей"</t>
  </si>
  <si>
    <t>8.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</si>
  <si>
    <t xml:space="preserve">Начальник ПЭО               </t>
  </si>
  <si>
    <t>Согласовано в части строк: 1980; 3000; 4000</t>
  </si>
  <si>
    <t>Сумма, руб. (с точностью до двух знаков после запятой-0,00)</t>
  </si>
  <si>
    <t>Собственные доходы муниципальных бюджетных и автономных учреждений Доп Эк 810</t>
  </si>
  <si>
    <t>Субсидия на иные цели Доп Эк 841</t>
  </si>
  <si>
    <t>Безвозмезд ные поступления муниципальным бюджетным и автономным учреждениям Доп Эк 820</t>
  </si>
  <si>
    <t>Безвозмездные поступления муниципальным бюджетным и автономным учрежде ниям Доп Эк 820</t>
  </si>
  <si>
    <t>Субсидия на выполнение муни ципаль ного зада ния Доп ЭК 831</t>
  </si>
  <si>
    <t>Субсидия на выполнение муни ципаль ного задания Доп ЭК 831</t>
  </si>
  <si>
    <t>Безвозмездные поступления муниципальным бюджетным и автономным учреждениям Доп Эк 820</t>
  </si>
  <si>
    <t>Е.Н. Евтешина</t>
  </si>
  <si>
    <t>Директор МБУ ДО "Норильская детская школа искусств"</t>
  </si>
  <si>
    <t>Поверка средств измерений</t>
  </si>
  <si>
    <t>Проведение лабораторно-инструментальных исследований согласно требованиям Санитарных норм</t>
  </si>
  <si>
    <t>Расходы на организацию мероприятий</t>
  </si>
  <si>
    <t>0322</t>
  </si>
  <si>
    <t>0323</t>
  </si>
  <si>
    <t>Охранно-пожарная сигнализация (Вывод сигнала срабатывания систем ПС на пульт, мониторинговые услуги)</t>
  </si>
  <si>
    <t xml:space="preserve">Заработная плата </t>
  </si>
  <si>
    <t xml:space="preserve">Возмещение расходов на предупредительные меры по сокращению произв. травматизма и проф. заболев. работников </t>
  </si>
  <si>
    <t>" " октября  2023  г.</t>
  </si>
  <si>
    <t xml:space="preserve"> </t>
  </si>
  <si>
    <t>ДопКР</t>
  </si>
  <si>
    <t>Оплата листов временной нетрудоспособности</t>
  </si>
  <si>
    <t>Начисления на выплаты по оплате труда</t>
  </si>
  <si>
    <t>Среднее значение</t>
  </si>
  <si>
    <t>Соблюдение гарантий и компенсаций, связанных с переездом и оплатой стоимости проезда и провоза багажа к месту использования отпуска и обратно
КЦСР 0850000600</t>
  </si>
  <si>
    <t xml:space="preserve">Субсидия на иные цели </t>
  </si>
  <si>
    <t xml:space="preserve">Количество </t>
  </si>
  <si>
    <t>шт. ед.</t>
  </si>
  <si>
    <t xml:space="preserve">Обоснование (расчет) плановых показателей по выплатам по элементу вида расходов классификации расходов бюджетов 119 «взносы по обязательному социальному страхованию на выплаты по оплате труда работников и иные выплаты работникам </t>
  </si>
  <si>
    <t>Итого, руб.</t>
  </si>
  <si>
    <t>Возмещение работникам (сотрудникам) расходов, связанных со служебными командировками (проезд к месту служебной командировки и обратно к месту постоянной работы транспортом общего пользования)</t>
  </si>
  <si>
    <t>на 2026 г.</t>
  </si>
  <si>
    <t xml:space="preserve">Код строки </t>
  </si>
  <si>
    <t>Расчет доходов от оказания услуг, выполнения работ в рамках установленного муниципального задания</t>
  </si>
  <si>
    <t>Дети из многодетных семей</t>
  </si>
  <si>
    <t xml:space="preserve"> Дети одиноких родителей</t>
  </si>
  <si>
    <t>2026 год</t>
  </si>
  <si>
    <t>ВСЕГО ДОХОДОВ</t>
  </si>
  <si>
    <t>Расчет доходов в виде субсидии на финансовое обеспечение выполнения муниципального задания</t>
  </si>
  <si>
    <t>Расчет доходов в виде субсидии на иные цели</t>
  </si>
  <si>
    <t>0820000100</t>
  </si>
  <si>
    <t xml:space="preserve">Организация предоставления дополнительного образования в области культуры (в т. ч. реализация социокультурных проектов образовательными организациями в области культуры) </t>
  </si>
  <si>
    <t>0850000200</t>
  </si>
  <si>
    <t>Поддержка талантливых детей и молодёжи</t>
  </si>
  <si>
    <t>Соблюдение гарантий и компенсаций, связанных с переездом и оплатой стоимости проезда и провоза багажа к месту использования отпуска и обратно</t>
  </si>
  <si>
    <t>152/162</t>
  </si>
  <si>
    <t>Организация предоставления дополнительного образования в области культуры (в т. ч. реализация социокультурных проектов образовательными организациями в области культуры) 
КЦСР 0820000100</t>
  </si>
  <si>
    <t>Фонд оплаты</t>
  </si>
  <si>
    <t>Услуги связи</t>
  </si>
  <si>
    <t>Комплексное техническое обслуживание инженерных систем и систем видеонаблюдения объектов недвижимого имущества (КТО)</t>
  </si>
  <si>
    <t xml:space="preserve">Обоснование (расчет) плановых показателей по выплатам по элементу вида расходов классификации расходов бюджетов 247 «Закупка энергетических ресурсов" </t>
  </si>
  <si>
    <t>Оплата отопления и технологических нужд, а также горячего водоснабжения</t>
  </si>
  <si>
    <t>Потребление электроэнергии</t>
  </si>
  <si>
    <t>кВт.час</t>
  </si>
  <si>
    <t>933</t>
  </si>
  <si>
    <t>Водоснабжение, канализация</t>
  </si>
  <si>
    <t>Холодное в/снабжение</t>
  </si>
  <si>
    <t>Негативное воздействие (коэф. 0,5)</t>
  </si>
  <si>
    <t>м3</t>
  </si>
  <si>
    <t>Торгсервис</t>
  </si>
  <si>
    <t>934</t>
  </si>
  <si>
    <t>Вывоз твердых коммунальных отходов</t>
  </si>
  <si>
    <t>год</t>
  </si>
  <si>
    <t>Содержание и техническое обслуживание помещений</t>
  </si>
  <si>
    <t>947</t>
  </si>
  <si>
    <t>Прочие расходы по содержанию имущества</t>
  </si>
  <si>
    <t>Техническое обслуживание ОПС и ППА СОУЭ</t>
  </si>
  <si>
    <t>Вневедомственная (в том числе пожарная) охрана, охранная и пожарная сигнализация (установка, наладка и эксплуатация)</t>
  </si>
  <si>
    <t>954</t>
  </si>
  <si>
    <t>Прочие услуги</t>
  </si>
  <si>
    <t>963</t>
  </si>
  <si>
    <t>Приобретение (изготовление) подарочной и сувенирной продукции, не предназначенной для дальнейшей перепродажи</t>
  </si>
  <si>
    <t>349</t>
  </si>
  <si>
    <t>981</t>
  </si>
  <si>
    <t>Приобретение расходных материалов</t>
  </si>
  <si>
    <t>Обоснование (расчет) плановых показателей поступлений доходов по статье 130 «Доходы от оказания услуг, работ, компенсации затрат учреждений» (строка 1200)</t>
  </si>
  <si>
    <t>Обоснование (расчет) плановых показателей поступлений доходов по статье 140 "Доходы от штрафов, пеней, иных сумм принудительного изъятия" (строка 1300)</t>
  </si>
  <si>
    <t>Поступление доходов по статье 150 "Безвозмездные денежные поступления" (гранты) (строка 1430)</t>
  </si>
  <si>
    <t>Расчет плановых показателей поступлений доходов  от штрафов, пеней, иных сумм принудительного изъятия</t>
  </si>
  <si>
    <t>141</t>
  </si>
  <si>
    <t>155</t>
  </si>
  <si>
    <t>121</t>
  </si>
  <si>
    <t>152</t>
  </si>
  <si>
    <t>162</t>
  </si>
  <si>
    <t>сут.</t>
  </si>
  <si>
    <t>Проверка</t>
  </si>
  <si>
    <t>Остаток  прошлого года</t>
  </si>
  <si>
    <t xml:space="preserve">Прочие транспортные расходы (оплата по счету проезда участника) </t>
  </si>
  <si>
    <t>счет.</t>
  </si>
  <si>
    <t xml:space="preserve"> Организация предоставления дополнительного образования</t>
  </si>
  <si>
    <t>на 2026 г</t>
  </si>
  <si>
    <t>Приобретение основных средств</t>
  </si>
  <si>
    <t>Вознаграждение по договорам ГПХ с учетом СВ</t>
  </si>
  <si>
    <t>Пособия, компенсации и иные социальные выплаты гражданам, кроме публичных нормативных обязательств</t>
  </si>
  <si>
    <t>Выходные пособия и компенсации при увольнении в связи с сокращением</t>
  </si>
  <si>
    <t>Заработная плата</t>
  </si>
  <si>
    <t>Пенсии, пособия, выплачиваемые, организациями сектора государственного управления</t>
  </si>
  <si>
    <t>Субсидия на выполнение муниципального задания          Доп ЭК 831</t>
  </si>
  <si>
    <t>Субсидия на иные цели            Доп ЭК 841</t>
  </si>
  <si>
    <t>Субсидия на выполнение муниципального задания            Доп ЭК 831</t>
  </si>
  <si>
    <t>Субсидия на иные цели           Доп ЭК 841</t>
  </si>
  <si>
    <t>Поддержка талантливых детей и молодёжи            КЦСР 0850000200</t>
  </si>
  <si>
    <t>Расчет доходов по безвозмездным поступлениям (гранты, пожертвования)</t>
  </si>
  <si>
    <t>целевые субсидии текущего характера</t>
  </si>
  <si>
    <t>целевые субсидии капиталдьного характера</t>
  </si>
  <si>
    <t>в культуре такого нет</t>
  </si>
  <si>
    <t>Обоснование (расчет) плановых показателей поступлений доходов по статье 120 "Доходы от собственности" (строка 1110)</t>
  </si>
  <si>
    <t>Обоснование (расчет) плановых показателей поступлений доходов по статье 180 "Прочие доходы" (строка 1410)</t>
  </si>
  <si>
    <t>целевые субсидии капитального характера (162)</t>
  </si>
  <si>
    <t>Возврат в бюджет средств субсидии</t>
  </si>
  <si>
    <t>Периодические издания, справочная литература</t>
  </si>
  <si>
    <t>Расчет плановых показателей поступлений доходов от возмещений Фондом пенсионного и социального страхования РФ расходов</t>
  </si>
  <si>
    <t>доходы от возмещений Фондом пенсионного и социального страхования РФ расходов</t>
  </si>
  <si>
    <t>комплект</t>
  </si>
  <si>
    <t>Абонентская плата за телефон</t>
  </si>
  <si>
    <t>Косметический ремонт помещений</t>
  </si>
  <si>
    <t>целевые субсидии текущего характера (152)</t>
  </si>
  <si>
    <t>Обоснование (расчеты) плановых показателей по выплатам бюджетных ассигнований</t>
  </si>
  <si>
    <t xml:space="preserve">Обоснование (расчеты) плановых показателей по выплатам </t>
  </si>
  <si>
    <t>Источник финансирования: бюджетные средства</t>
  </si>
  <si>
    <t>Источник финансирования: безвозмездные поступления</t>
  </si>
  <si>
    <t>Абонентская платы за Интернет</t>
  </si>
  <si>
    <t>Проверка с КВР</t>
  </si>
  <si>
    <t>ПРОВЕРКА с Поступлением 831, 841, 810, 820</t>
  </si>
  <si>
    <t>Проверка с поступления 810</t>
  </si>
  <si>
    <t>Планируемые выплаты на оплату труда (с. 0100 - с. 0200 + с. 0300 - с. 0400 + с. 0500)</t>
  </si>
  <si>
    <t>Планируемые выплаты на страховые взносы на обязательное социальное страхование (с. 0100 - с. 0200 + с. 0300 - с. 0400 + с. 0500)</t>
  </si>
  <si>
    <t>Планируемые выплаты на закупку товаров, работ и услуг (с. 0100 - с. 0200 + с. 0300 - с. 0400 + с. 0500)</t>
  </si>
  <si>
    <t>Источник финансирования: собственные средства учреждения</t>
  </si>
  <si>
    <t>квартал</t>
  </si>
  <si>
    <t>кв.м.</t>
  </si>
  <si>
    <t>МБУ ДО "Норильская детская художестенная школа"</t>
  </si>
  <si>
    <t xml:space="preserve">Дети-сироты и дети, оставшиеся без попечения родителей
</t>
  </si>
  <si>
    <t>Живопись</t>
  </si>
  <si>
    <t>Дизайн</t>
  </si>
  <si>
    <t>Гарант (Консультант плюс)</t>
  </si>
  <si>
    <t>Модульная мебель для кабинетов административного персонала:</t>
  </si>
  <si>
    <t>Оргтехника</t>
  </si>
  <si>
    <t>Картриджи</t>
  </si>
  <si>
    <t>Хозяйственные товары</t>
  </si>
  <si>
    <t>Инструменты и электротовары</t>
  </si>
  <si>
    <t>Бумага формат А-4</t>
  </si>
  <si>
    <t>Вода питьевая "Северное сияние"</t>
  </si>
  <si>
    <t>Подрядчик, номер, дата, период оказания услуг</t>
  </si>
  <si>
    <t>Экономия/
Дефицит</t>
  </si>
  <si>
    <t>ОПС</t>
  </si>
  <si>
    <t>ОПС и ТС</t>
  </si>
  <si>
    <t>счет</t>
  </si>
  <si>
    <t>Услуги режиссера -постановщика по проекту "МаскАРаТ"</t>
  </si>
  <si>
    <t>Услуги по мониторингу, подготовке содержательного отчета по проекту "МаскАРаТ"</t>
  </si>
  <si>
    <t>Проведение мастер класса по изготовлению кукол из картона по проекту "МаскАРаТ"</t>
  </si>
  <si>
    <t>Проведение мастер класса по проекту "МаскАРаТ"</t>
  </si>
  <si>
    <t>Расходы на организацию мероприятий оплата дороги привлеченным специалистам по проекту "МаскАРаТ"</t>
  </si>
  <si>
    <t>шт</t>
  </si>
  <si>
    <t>Стойка штатив  по проекту "МаскАРаТ"</t>
  </si>
  <si>
    <t>Диско шар  по проекту "МаскАРаТ"</t>
  </si>
  <si>
    <t>Светильники по проекту "МаскАРаТ"</t>
  </si>
  <si>
    <t>ПАО "ГМК" Норильский-Никель"</t>
  </si>
  <si>
    <t>Пожертвование для реализации социально-значимого проекта "МаскАРаТ"</t>
  </si>
  <si>
    <t>Самореализация потенциала творческой молодежи от 13 до 18 лет  муниципального объединения город Норильск</t>
  </si>
  <si>
    <t>Сувенирная продукция по проекту "МаскАРаТ"</t>
  </si>
  <si>
    <t>Примечание</t>
  </si>
  <si>
    <t>Расходы на организацию мероприятий по "МаскАРаТ"</t>
  </si>
  <si>
    <t xml:space="preserve">Расчет доходов от оказания услуг, выполнения работ за плату сверх установленного муниципального задания и иной приносящей доход деятельности, предусмотренной уставом учреждения </t>
  </si>
  <si>
    <t>Средняя стоимость, руб.</t>
  </si>
  <si>
    <t>Кол-во месяцев в самоокупаемых группах</t>
  </si>
  <si>
    <t>Доходы,руб.</t>
  </si>
  <si>
    <t>учащийся</t>
  </si>
  <si>
    <t>Самоокупаемая художественная студия "Радуга"</t>
  </si>
  <si>
    <t>Самоокупаемая художественная студия "Палитра"</t>
  </si>
  <si>
    <t>Самоокупаемая художественная студия "Кисточка"</t>
  </si>
  <si>
    <t>Самоокупаемая художественная студия "Этюд"</t>
  </si>
  <si>
    <t>Самоокупаемая художественная студия "Картинка"</t>
  </si>
  <si>
    <t>Самоокупаемая художественная студия "Акварель"</t>
  </si>
  <si>
    <t>Самоокупаемая художественная студия "Рисунок"</t>
  </si>
  <si>
    <t>Самоокупаемая художественная студия "Штрих"</t>
  </si>
  <si>
    <t>Самоокупаемая художественная студия "Черчение"</t>
  </si>
  <si>
    <t>Договор ГПХ с педагогическим персоналом</t>
  </si>
  <si>
    <t>Расходы на организацию мероприятий по проекту "МаскАРаТ" услуги проживания</t>
  </si>
  <si>
    <t>Увеличение остатков денежных средств за счет возврата дебиторской задолженности прошлых лет</t>
  </si>
  <si>
    <t>Выбытие финансовых активов</t>
  </si>
  <si>
    <t xml:space="preserve">Единовременное пособие </t>
  </si>
  <si>
    <t>Проезд</t>
  </si>
  <si>
    <t>Транспорные расходы (доставка)</t>
  </si>
  <si>
    <t>на 2027 г</t>
  </si>
  <si>
    <t>Н.А. Салтанова</t>
  </si>
  <si>
    <t>2027 год</t>
  </si>
  <si>
    <t>на 2027 г.</t>
  </si>
  <si>
    <t>Расходы, связанные со служебными командировками и учебными отпусками работников (сотрудников)</t>
  </si>
  <si>
    <t>Оплата работ и услуг, направленных на поддержание в исправном, пригодном для эксплуатации состоянии (приведение в исправное состояние) имущества</t>
  </si>
  <si>
    <t>Приобретение (изготовление) расходных материалов (за исключением материалов предусмотренных для целей капитальных вложений, продуктов питания, ГСМ)</t>
  </si>
  <si>
    <t xml:space="preserve">Дети участников специальной военной операции
</t>
  </si>
  <si>
    <t>Доходы, руб.</t>
  </si>
  <si>
    <t>на 2027  г.</t>
  </si>
  <si>
    <t>Расходы на прохождение медицинских  осмотров,
Прочие выплаты (гигиеническое обучение)</t>
  </si>
  <si>
    <t>компенсация расходов, связанных с переездом из районов Крайнего Севера</t>
  </si>
  <si>
    <t>Расходы на праздничные программы</t>
  </si>
  <si>
    <t>Суточные</t>
  </si>
  <si>
    <t>Проживание и проезд</t>
  </si>
  <si>
    <t xml:space="preserve">Расходы на организацию мероприятий </t>
  </si>
  <si>
    <t>Расходы на прохождение медицинского осмотра,  гигиеническое обучение (первичный мед. Осмотр)</t>
  </si>
  <si>
    <t>Приобретение мягкого инвентаря (CИЗ)</t>
  </si>
  <si>
    <t>Приобретение строительных материалов</t>
  </si>
  <si>
    <t>Услуги междугородней связи</t>
  </si>
  <si>
    <t>Почтовые услуги</t>
  </si>
  <si>
    <t>Расходы, связанные с переездом из(в) районов(ы) Крайнего Севера</t>
  </si>
  <si>
    <t xml:space="preserve">Моющие и чистящие средства </t>
  </si>
  <si>
    <t xml:space="preserve">Канцелярские товары </t>
  </si>
  <si>
    <t>Прочие транспортные расходы</t>
  </si>
  <si>
    <t>Расходы на прохождение медицинских осмотров, гигиенического обучения</t>
  </si>
  <si>
    <t>Ремонтно-восстановительные работы объектов недвижимого имущества</t>
  </si>
  <si>
    <t>Дети, из малообеспеченных семей (семьи со среднедушевым доходом ниже величины прожиточного минимума)</t>
  </si>
  <si>
    <t>Э/энергия</t>
  </si>
  <si>
    <t>Увеличение остатков денежных средств за счет возврата дебеторской задолженности прослых лет</t>
  </si>
  <si>
    <t>Обучение</t>
  </si>
  <si>
    <t>Доставка оборудования "Арт-локация"</t>
  </si>
  <si>
    <t>Договора ГПХ "Арт-Локация"</t>
  </si>
  <si>
    <t>Оборудование для организации работы по проекту "Арт-локация"</t>
  </si>
  <si>
    <t>Расходные материалы "Арт-локация"</t>
  </si>
  <si>
    <t xml:space="preserve">   </t>
  </si>
  <si>
    <t>Мольберт</t>
  </si>
  <si>
    <t>Перекатка пожарного рукава</t>
  </si>
  <si>
    <t>Проведение лабораторных исследований</t>
  </si>
  <si>
    <t>ФОНД ЮБИЛЕЙНЫЙ</t>
  </si>
  <si>
    <t>Финансовые обязательства 2026 г.</t>
  </si>
  <si>
    <r>
      <t>от "01" января  2026 г.</t>
    </r>
    <r>
      <rPr>
        <vertAlign val="superscript"/>
        <sz val="11"/>
        <rFont val="Times New Roman"/>
        <family val="1"/>
        <charset val="204"/>
      </rPr>
      <t xml:space="preserve"> </t>
    </r>
  </si>
  <si>
    <t>Н.А. Виницкая</t>
  </si>
  <si>
    <r>
      <t>(на 2026 год и плановый период 2027 и 2028 гг.)</t>
    </r>
    <r>
      <rPr>
        <b/>
        <vertAlign val="superscript"/>
        <sz val="11"/>
        <rFont val="Times New Roman"/>
        <family val="1"/>
        <charset val="204"/>
      </rPr>
      <t>1</t>
    </r>
  </si>
  <si>
    <t>на 2028 г</t>
  </si>
  <si>
    <t>2028 год</t>
  </si>
  <si>
    <t>Остаток субсидии 2025 года</t>
  </si>
  <si>
    <t>Расчеты доходов 2026-2028</t>
  </si>
  <si>
    <t xml:space="preserve">Остаток 2025 года </t>
  </si>
  <si>
    <t>Остаток 2025 года</t>
  </si>
  <si>
    <t>Сумма родительской платы за 2026 г. (стоимость обучения х кол-во детей - (сумма всех льгот)) х 9 мес</t>
  </si>
  <si>
    <t>Сумма родительской платы за 2027 г. (2026+5,6%)</t>
  </si>
  <si>
    <t>Сумма родительской платы за 2028 г. (2027+4,5%)</t>
  </si>
  <si>
    <t>на 2028 г.</t>
  </si>
  <si>
    <t>Проверка с Доходы 26-28</t>
  </si>
  <si>
    <t>Проверка с Поступления 26-28</t>
  </si>
  <si>
    <t>Аэродинамические испытания</t>
  </si>
  <si>
    <t>Организация временного трудоустройства несовершеннолетних граждан в муниципальные организации</t>
  </si>
  <si>
    <t>Организация временного трудоустройства несовершеннолетних граждан в муниципальные организации                 
КЦСР 1700000120</t>
  </si>
  <si>
    <t>1700000120</t>
  </si>
  <si>
    <t>Оплата труда наставников (ТОШ)</t>
  </si>
  <si>
    <t>План финансово-хозяйственной деятельности на 2026 г.</t>
  </si>
  <si>
    <t>Финансовые обязательства 2027 г.</t>
  </si>
  <si>
    <t>.</t>
  </si>
  <si>
    <t>Обоснование (расчет) плановых показателей по выплатам по элементу вида расходов классификации расходов бюджетов 113 "Иные выплаты учреждений привлекаемым лицам"</t>
  </si>
  <si>
    <t>Ремонт оргтехники (МФУ, принтеры, ноутбуки, плазменные панели)</t>
  </si>
  <si>
    <t>Ремонт кровли</t>
  </si>
  <si>
    <t>Модульная мебель для кабинетов педагогов:</t>
  </si>
  <si>
    <t xml:space="preserve">Кредиторская задолженность </t>
  </si>
  <si>
    <t>Стоимость обучения на 2026 г. с учетом повышения на 7,2% с 01.01.26</t>
  </si>
  <si>
    <t>Самоокупаемая студия</t>
  </si>
  <si>
    <t>ДПТ</t>
  </si>
  <si>
    <t>ИЗО/Профиль</t>
  </si>
  <si>
    <t>Творчество</t>
  </si>
  <si>
    <t>Кредиторская задолженность</t>
  </si>
  <si>
    <t xml:space="preserve">931,932, 933 </t>
  </si>
  <si>
    <t>Фин. обязательства 2027</t>
  </si>
  <si>
    <t>МБУ ДО "Норильская детская художестенная школа имени Н.П. Лоя"</t>
  </si>
  <si>
    <t>Учреждение: МБУ ДО "Норильская детская художестенная школа имени Н.П. Лоя"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</si>
</sst>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4" formatCode="_-* #,##0.00\ &quot;₽&quot;_-;\-* #,##0.00\ &quot;₽&quot;_-;_-* &quot;-&quot;??\ &quot;₽&quot;_-;_-@_-"/>
    <numFmt numFmtId="43" formatCode="_-* #,##0.00\ _₽_-;\-* #,##0.00\ _₽_-;_-* &quot;-&quot;??\ _₽_-;_-@_-"/>
    <numFmt numFmtId="164" formatCode="_-* #,##0.00&quot;р.&quot;_-;\-* #,##0.00&quot;р.&quot;_-;_-* &quot;-&quot;??&quot;р.&quot;_-;_-@_-"/>
    <numFmt numFmtId="165" formatCode="_-* #,##0.00_р_._-;\-* #,##0.00_р_._-;_-* &quot;-&quot;??_р_._-;_-@_-"/>
    <numFmt numFmtId="166" formatCode="#,##0.0"/>
    <numFmt numFmtId="167" formatCode="0.000"/>
    <numFmt numFmtId="168" formatCode="0.0"/>
    <numFmt numFmtId="169" formatCode="#,##0.000"/>
    <numFmt numFmtId="170" formatCode="#,##0.00_ ;[Red]\-#,##0.00\ "/>
    <numFmt numFmtId="171" formatCode="#,##0.0_ ;[Red]\-#,##0.0\ "/>
    <numFmt numFmtId="172" formatCode="#,##0.000_ ;[Red]\-#,##0.000\ "/>
    <numFmt numFmtId="173" formatCode="_(* #,##0.00_);_(* \(#,##0.00\);_(* &quot;-&quot;??_);_(@_)"/>
    <numFmt numFmtId="174" formatCode="_(&quot;$&quot;* #,##0.00_);_(&quot;$&quot;* \(#,##0.00\);_(&quot;$&quot;* &quot;-&quot;??_);_(@_)"/>
  </numFmts>
  <fonts count="103" x14ac:knownFonts="1">
    <font>
      <sz val="10"/>
      <color theme="1"/>
      <name val="Times New Roman"/>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color indexed="8"/>
      <name val="Times New Roman"/>
      <family val="2"/>
      <charset val="204"/>
    </font>
    <font>
      <sz val="14"/>
      <color indexed="8"/>
      <name val="Times New Roman"/>
      <family val="2"/>
      <charset val="204"/>
    </font>
    <font>
      <sz val="10"/>
      <name val="Arial Cyr"/>
      <charset val="204"/>
    </font>
    <font>
      <sz val="10"/>
      <name val="Times New Roman"/>
      <family val="1"/>
      <charset val="204"/>
    </font>
    <font>
      <b/>
      <sz val="10"/>
      <name val="Times New Roman"/>
      <family val="1"/>
      <charset val="204"/>
    </font>
    <font>
      <sz val="10"/>
      <color indexed="8"/>
      <name val="Times New Roman"/>
      <family val="1"/>
      <charset val="204"/>
    </font>
    <font>
      <sz val="13"/>
      <name val="Times New Roman"/>
      <family val="1"/>
    </font>
    <font>
      <sz val="16"/>
      <color indexed="8"/>
      <name val="Times New Roman"/>
      <family val="2"/>
      <charset val="204"/>
    </font>
    <font>
      <u/>
      <sz val="16"/>
      <color indexed="8"/>
      <name val="Times New Roman"/>
      <family val="1"/>
      <charset val="204"/>
    </font>
    <font>
      <sz val="10"/>
      <name val="Times New Roman"/>
      <family val="2"/>
      <charset val="204"/>
    </font>
    <font>
      <sz val="11"/>
      <color indexed="8"/>
      <name val="Calibri"/>
      <family val="2"/>
      <charset val="204"/>
    </font>
    <font>
      <sz val="10"/>
      <name val="Arial"/>
      <family val="2"/>
      <charset val="204"/>
    </font>
    <font>
      <sz val="12"/>
      <name val="Times New Roman CYR"/>
      <charset val="204"/>
    </font>
    <font>
      <b/>
      <sz val="11"/>
      <color indexed="8"/>
      <name val="Times New Roman"/>
      <family val="1"/>
      <charset val="204"/>
    </font>
    <font>
      <sz val="12"/>
      <name val="Times New Roman"/>
      <family val="1"/>
    </font>
    <font>
      <sz val="9"/>
      <color indexed="81"/>
      <name val="Tahoma"/>
      <family val="2"/>
      <charset val="204"/>
    </font>
    <font>
      <sz val="13"/>
      <name val="Times New Roman"/>
      <family val="2"/>
      <charset val="204"/>
    </font>
    <font>
      <sz val="16"/>
      <name val="Times New Roman"/>
      <family val="2"/>
      <charset val="204"/>
    </font>
    <font>
      <u/>
      <sz val="16"/>
      <name val="Times New Roman"/>
      <family val="2"/>
      <charset val="204"/>
    </font>
    <font>
      <sz val="14"/>
      <name val="Times New Roman"/>
      <family val="2"/>
      <charset val="204"/>
    </font>
    <font>
      <sz val="12"/>
      <name val="Times New Roman"/>
      <family val="2"/>
      <charset val="204"/>
    </font>
    <font>
      <b/>
      <sz val="11"/>
      <name val="Times New Roman"/>
      <family val="2"/>
      <charset val="204"/>
    </font>
    <font>
      <sz val="11"/>
      <name val="Times New Roman"/>
      <family val="2"/>
      <charset val="204"/>
    </font>
    <font>
      <sz val="8"/>
      <name val="Arial Cyr"/>
    </font>
    <font>
      <b/>
      <sz val="11"/>
      <name val="Times New Roman"/>
      <family val="1"/>
      <charset val="204"/>
    </font>
    <font>
      <sz val="11"/>
      <name val="Times New Roman"/>
      <family val="1"/>
      <charset val="204"/>
    </font>
    <font>
      <sz val="12"/>
      <name val="Times New Roman"/>
      <family val="1"/>
      <charset val="204"/>
    </font>
    <font>
      <b/>
      <sz val="10"/>
      <color indexed="8"/>
      <name val="Times New Roman"/>
      <family val="1"/>
      <charset val="204"/>
    </font>
    <font>
      <b/>
      <sz val="10"/>
      <name val="Times New Roman"/>
      <family val="2"/>
      <charset val="204"/>
    </font>
    <font>
      <sz val="11"/>
      <color indexed="8"/>
      <name val="Times New Roman"/>
      <family val="1"/>
      <charset val="204"/>
    </font>
    <font>
      <sz val="10"/>
      <name val="Arial Cyr"/>
      <family val="2"/>
      <charset val="204"/>
    </font>
    <font>
      <sz val="10"/>
      <name val="Arial"/>
      <family val="2"/>
    </font>
    <font>
      <b/>
      <sz val="11"/>
      <color indexed="12"/>
      <name val="Times New Roman"/>
      <family val="1"/>
      <charset val="204"/>
    </font>
    <font>
      <sz val="10"/>
      <name val="Arial"/>
      <family val="2"/>
      <charset val="204"/>
    </font>
    <font>
      <sz val="10"/>
      <color theme="1"/>
      <name val="Times New Roman"/>
      <family val="2"/>
      <charset val="204"/>
    </font>
    <font>
      <sz val="11"/>
      <color theme="1"/>
      <name val="Calibri"/>
      <family val="2"/>
      <charset val="204"/>
      <scheme val="minor"/>
    </font>
    <font>
      <sz val="11"/>
      <color theme="1"/>
      <name val="Calibri"/>
      <family val="2"/>
      <scheme val="minor"/>
    </font>
    <font>
      <sz val="11"/>
      <color theme="1"/>
      <name val="Times New Roman"/>
      <family val="1"/>
      <charset val="204"/>
    </font>
    <font>
      <b/>
      <sz val="11"/>
      <color theme="1"/>
      <name val="Times New Roman"/>
      <family val="1"/>
      <charset val="204"/>
    </font>
    <font>
      <sz val="16"/>
      <color theme="1"/>
      <name val="Times New Roman"/>
      <family val="1"/>
      <charset val="204"/>
    </font>
    <font>
      <sz val="10"/>
      <color theme="0"/>
      <name val="Times New Roman"/>
      <family val="2"/>
      <charset val="204"/>
    </font>
    <font>
      <sz val="10"/>
      <color theme="1"/>
      <name val="Times New Roman"/>
      <family val="1"/>
      <charset val="204"/>
    </font>
    <font>
      <sz val="10"/>
      <color rgb="FFC00000"/>
      <name val="Times New Roman"/>
      <family val="2"/>
      <charset val="204"/>
    </font>
    <font>
      <sz val="12"/>
      <color theme="1"/>
      <name val="Times New Roman"/>
      <family val="1"/>
      <charset val="204"/>
    </font>
    <font>
      <sz val="13"/>
      <color theme="1"/>
      <name val="Times New Roman"/>
      <family val="2"/>
      <charset val="204"/>
    </font>
    <font>
      <b/>
      <sz val="10"/>
      <color theme="1"/>
      <name val="Times New Roman"/>
      <family val="1"/>
      <charset val="204"/>
    </font>
    <font>
      <sz val="11"/>
      <color rgb="FFC00000"/>
      <name val="Times New Roman"/>
      <family val="2"/>
      <charset val="204"/>
    </font>
    <font>
      <b/>
      <sz val="11"/>
      <color theme="1"/>
      <name val="Calibri"/>
      <family val="2"/>
      <charset val="204"/>
      <scheme val="minor"/>
    </font>
    <font>
      <b/>
      <sz val="12"/>
      <color theme="1"/>
      <name val="Times New Roman"/>
      <family val="1"/>
      <charset val="204"/>
    </font>
    <font>
      <sz val="11"/>
      <color rgb="FFFF0000"/>
      <name val="Times New Roman"/>
      <family val="1"/>
      <charset val="204"/>
    </font>
    <font>
      <b/>
      <sz val="13"/>
      <color theme="1"/>
      <name val="Times New Roman"/>
      <family val="1"/>
      <charset val="204"/>
    </font>
    <font>
      <b/>
      <sz val="14"/>
      <color theme="1"/>
      <name val="Times New Roman"/>
      <family val="1"/>
      <charset val="204"/>
    </font>
    <font>
      <b/>
      <sz val="16"/>
      <color theme="1"/>
      <name val="Times New Roman"/>
      <family val="1"/>
      <charset val="204"/>
    </font>
    <font>
      <i/>
      <sz val="11"/>
      <color rgb="FF7F7F7F"/>
      <name val="Calibri"/>
      <family val="2"/>
      <charset val="204"/>
    </font>
    <font>
      <sz val="11"/>
      <color rgb="FF000000"/>
      <name val="Calibri"/>
      <family val="2"/>
      <charset val="1"/>
    </font>
    <font>
      <b/>
      <sz val="9"/>
      <color indexed="81"/>
      <name val="Tahoma"/>
      <family val="2"/>
      <charset val="204"/>
    </font>
    <font>
      <sz val="11"/>
      <color rgb="FF000000"/>
      <name val="Times New Roman"/>
      <family val="1"/>
      <charset val="204"/>
    </font>
    <font>
      <b/>
      <sz val="11"/>
      <color rgb="FF000000"/>
      <name val="Times New Roman"/>
      <family val="1"/>
      <charset val="204"/>
    </font>
    <font>
      <sz val="13"/>
      <color theme="1"/>
      <name val="Calibri"/>
      <family val="2"/>
      <scheme val="minor"/>
    </font>
    <font>
      <sz val="11"/>
      <color rgb="FFC00000"/>
      <name val="Calibri"/>
      <family val="2"/>
      <scheme val="minor"/>
    </font>
    <font>
      <sz val="11"/>
      <color indexed="8"/>
      <name val="Calibri"/>
      <family val="2"/>
      <scheme val="minor"/>
    </font>
    <font>
      <sz val="11"/>
      <name val="Calibri"/>
      <family val="2"/>
      <scheme val="minor"/>
    </font>
    <font>
      <u/>
      <sz val="11"/>
      <name val="Times New Roman"/>
      <family val="1"/>
      <charset val="204"/>
    </font>
    <font>
      <b/>
      <vertAlign val="superscript"/>
      <sz val="11"/>
      <name val="Times New Roman"/>
      <family val="1"/>
      <charset val="204"/>
    </font>
    <font>
      <vertAlign val="superscript"/>
      <sz val="11"/>
      <name val="Times New Roman"/>
      <family val="1"/>
      <charset val="204"/>
    </font>
    <font>
      <b/>
      <sz val="20"/>
      <color theme="1"/>
      <name val="Times New Roman"/>
      <family val="1"/>
      <charset val="204"/>
    </font>
    <font>
      <b/>
      <sz val="10"/>
      <color rgb="FFFF0000"/>
      <name val="Times New Roman"/>
      <family val="1"/>
      <charset val="204"/>
    </font>
    <font>
      <b/>
      <sz val="16"/>
      <name val="Times New Roman"/>
      <family val="1"/>
      <charset val="204"/>
    </font>
    <font>
      <b/>
      <sz val="20"/>
      <name val="Times New Roman"/>
      <family val="1"/>
      <charset val="204"/>
    </font>
    <font>
      <b/>
      <sz val="15"/>
      <color theme="1"/>
      <name val="Times New Roman"/>
      <family val="1"/>
      <charset val="204"/>
    </font>
    <font>
      <b/>
      <sz val="10"/>
      <color rgb="FFC00000"/>
      <name val="Times New Roman"/>
      <family val="1"/>
      <charset val="204"/>
    </font>
    <font>
      <i/>
      <sz val="11"/>
      <name val="Times New Roman"/>
      <family val="1"/>
      <charset val="204"/>
    </font>
    <font>
      <b/>
      <sz val="13"/>
      <name val="Times New Roman"/>
      <family val="1"/>
      <charset val="204"/>
    </font>
    <font>
      <b/>
      <sz val="12"/>
      <name val="Times New Roman"/>
      <family val="1"/>
      <charset val="204"/>
    </font>
    <font>
      <b/>
      <sz val="14"/>
      <name val="Times New Roman"/>
      <family val="1"/>
      <charset val="204"/>
    </font>
    <font>
      <sz val="9"/>
      <name val="Times New Roman"/>
      <family val="1"/>
      <charset val="204"/>
    </font>
    <font>
      <sz val="14"/>
      <name val="Times New Roman"/>
      <family val="1"/>
      <charset val="204"/>
    </font>
    <font>
      <sz val="14"/>
      <color theme="1"/>
      <name val="Times New Roman"/>
      <family val="1"/>
      <charset val="204"/>
    </font>
  </fonts>
  <fills count="13">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0000"/>
        <bgColor indexed="64"/>
      </patternFill>
    </fill>
    <fill>
      <patternFill patternType="solid">
        <fgColor rgb="FFFFCCCC"/>
        <bgColor indexed="64"/>
      </patternFill>
    </fill>
    <fill>
      <patternFill patternType="solid">
        <fgColor rgb="FFFFFF00"/>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thin">
        <color theme="0" tint="-0.249977111117893"/>
      </top>
      <bottom style="thin">
        <color indexed="64"/>
      </bottom>
      <diagonal/>
    </border>
    <border>
      <left style="medium">
        <color indexed="64"/>
      </left>
      <right/>
      <top/>
      <bottom/>
      <diagonal/>
    </border>
    <border>
      <left style="thin">
        <color indexed="64"/>
      </left>
      <right style="thin">
        <color indexed="64"/>
      </right>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top style="thin">
        <color theme="0" tint="-0.249977111117893"/>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theme="0" tint="-0.14999847407452621"/>
      </top>
      <bottom style="thin">
        <color indexed="64"/>
      </bottom>
      <diagonal/>
    </border>
    <border>
      <left style="thin">
        <color indexed="64"/>
      </left>
      <right style="thin">
        <color indexed="64"/>
      </right>
      <top style="thin">
        <color indexed="64"/>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style="thin">
        <color indexed="64"/>
      </right>
      <top/>
      <bottom style="thin">
        <color theme="0" tint="-0.14999847407452621"/>
      </bottom>
      <diagonal/>
    </border>
    <border>
      <left style="thin">
        <color indexed="64"/>
      </left>
      <right style="thin">
        <color indexed="64"/>
      </right>
      <top style="thin">
        <color theme="0" tint="-0.14999847407452621"/>
      </top>
      <bottom style="thin">
        <color theme="1"/>
      </bottom>
      <diagonal/>
    </border>
    <border>
      <left style="thin">
        <color indexed="64"/>
      </left>
      <right/>
      <top style="thin">
        <color indexed="64"/>
      </top>
      <bottom style="thin">
        <color theme="0" tint="-0.14999847407452621"/>
      </bottom>
      <diagonal/>
    </border>
    <border>
      <left style="thin">
        <color indexed="64"/>
      </left>
      <right style="thin">
        <color indexed="64"/>
      </right>
      <top style="thin">
        <color theme="0" tint="-0.14999847407452621"/>
      </top>
      <bottom/>
      <diagonal/>
    </border>
    <border>
      <left/>
      <right/>
      <top/>
      <bottom style="thin">
        <color theme="0" tint="-0.14999847407452621"/>
      </bottom>
      <diagonal/>
    </border>
    <border>
      <left/>
      <right/>
      <top/>
      <bottom style="thin">
        <color theme="1"/>
      </bottom>
      <diagonal/>
    </border>
    <border>
      <left style="thin">
        <color indexed="64"/>
      </left>
      <right style="thin">
        <color indexed="64"/>
      </right>
      <top/>
      <bottom style="thin">
        <color theme="1"/>
      </bottom>
      <diagonal/>
    </border>
  </borders>
  <cellStyleXfs count="307">
    <xf numFmtId="0" fontId="0" fillId="0" borderId="0"/>
    <xf numFmtId="0" fontId="35" fillId="0" borderId="0"/>
    <xf numFmtId="164" fontId="27" fillId="0" borderId="0" applyFont="0" applyFill="0" applyBorder="0" applyAlignment="0" applyProtection="0"/>
    <xf numFmtId="164" fontId="35" fillId="0" borderId="0" applyFont="0" applyFill="0" applyBorder="0" applyAlignment="0" applyProtection="0"/>
    <xf numFmtId="174" fontId="36" fillId="0" borderId="0" applyFont="0" applyFill="0" applyBorder="0" applyAlignment="0" applyProtection="0"/>
    <xf numFmtId="0" fontId="61" fillId="0" borderId="0"/>
    <xf numFmtId="0" fontId="36"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58" fillId="0" borderId="0"/>
    <xf numFmtId="0" fontId="60" fillId="0" borderId="0"/>
    <xf numFmtId="0" fontId="60" fillId="0" borderId="0"/>
    <xf numFmtId="0" fontId="27" fillId="0" borderId="0"/>
    <xf numFmtId="0" fontId="37" fillId="0" borderId="0"/>
    <xf numFmtId="0" fontId="55" fillId="0" borderId="0"/>
    <xf numFmtId="0" fontId="27" fillId="0" borderId="0"/>
    <xf numFmtId="0" fontId="37" fillId="0" borderId="0"/>
    <xf numFmtId="0" fontId="27" fillId="0" borderId="0"/>
    <xf numFmtId="0" fontId="27" fillId="0" borderId="0"/>
    <xf numFmtId="0" fontId="36" fillId="0" borderId="0"/>
    <xf numFmtId="0" fontId="60" fillId="0" borderId="0"/>
    <xf numFmtId="0" fontId="59" fillId="0" borderId="0"/>
    <xf numFmtId="0" fontId="60" fillId="0" borderId="0"/>
    <xf numFmtId="0" fontId="60" fillId="0" borderId="0"/>
    <xf numFmtId="0" fontId="60" fillId="0" borderId="0"/>
    <xf numFmtId="0" fontId="27" fillId="0" borderId="0"/>
    <xf numFmtId="0" fontId="36" fillId="0" borderId="0"/>
    <xf numFmtId="0" fontId="59" fillId="0" borderId="0"/>
    <xf numFmtId="0" fontId="36" fillId="0" borderId="0"/>
    <xf numFmtId="0" fontId="59" fillId="0" borderId="0"/>
    <xf numFmtId="0" fontId="25" fillId="0" borderId="0"/>
    <xf numFmtId="0" fontId="60" fillId="0" borderId="0"/>
    <xf numFmtId="0" fontId="56" fillId="0" borderId="0"/>
    <xf numFmtId="0" fontId="27" fillId="0" borderId="0"/>
    <xf numFmtId="0" fontId="60" fillId="0" borderId="0"/>
    <xf numFmtId="0" fontId="61" fillId="0" borderId="0"/>
    <xf numFmtId="0" fontId="36" fillId="0" borderId="0"/>
    <xf numFmtId="0" fontId="60" fillId="0" borderId="0"/>
    <xf numFmtId="0" fontId="36" fillId="0" borderId="0"/>
    <xf numFmtId="0" fontId="60" fillId="0" borderId="0"/>
    <xf numFmtId="0" fontId="35" fillId="0" borderId="0"/>
    <xf numFmtId="0" fontId="61" fillId="0" borderId="0"/>
    <xf numFmtId="0" fontId="36" fillId="0" borderId="0"/>
    <xf numFmtId="0" fontId="36"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7" fillId="0" borderId="0"/>
    <xf numFmtId="9" fontId="36" fillId="0" borderId="0" applyFont="0" applyFill="0" applyBorder="0" applyAlignment="0" applyProtection="0"/>
    <xf numFmtId="9" fontId="36" fillId="0" borderId="0" applyFont="0" applyFill="0" applyBorder="0" applyAlignment="0" applyProtection="0"/>
    <xf numFmtId="165" fontId="60" fillId="0" borderId="0" applyFont="0" applyFill="0" applyBorder="0" applyAlignment="0" applyProtection="0"/>
    <xf numFmtId="165" fontId="60" fillId="0" borderId="0" applyFont="0" applyFill="0" applyBorder="0" applyAlignment="0" applyProtection="0"/>
    <xf numFmtId="165" fontId="60" fillId="0" borderId="0" applyFont="0" applyFill="0" applyBorder="0" applyAlignment="0" applyProtection="0"/>
    <xf numFmtId="165" fontId="60" fillId="0" borderId="0" applyFont="0" applyFill="0" applyBorder="0" applyAlignment="0" applyProtection="0"/>
    <xf numFmtId="0" fontId="36" fillId="0" borderId="0" applyFont="0" applyFill="0" applyBorder="0" applyAlignment="0" applyProtection="0"/>
    <xf numFmtId="173" fontId="36" fillId="0" borderId="0" applyFont="0" applyFill="0" applyBorder="0" applyAlignment="0" applyProtection="0"/>
    <xf numFmtId="165" fontId="27" fillId="0" borderId="0" applyFont="0" applyFill="0" applyBorder="0" applyAlignment="0" applyProtection="0"/>
    <xf numFmtId="165" fontId="25" fillId="0" borderId="0" applyFont="0" applyFill="0" applyBorder="0" applyAlignment="0" applyProtection="0"/>
    <xf numFmtId="43" fontId="60" fillId="0" borderId="0" applyFont="0" applyFill="0" applyBorder="0" applyAlignment="0" applyProtection="0"/>
    <xf numFmtId="165" fontId="60" fillId="0" borderId="0" applyFont="0" applyFill="0" applyBorder="0" applyAlignment="0" applyProtection="0"/>
    <xf numFmtId="165" fontId="60" fillId="0" borderId="0" applyFont="0" applyFill="0" applyBorder="0" applyAlignment="0" applyProtection="0"/>
    <xf numFmtId="165" fontId="60" fillId="0" borderId="0" applyFont="0" applyFill="0" applyBorder="0" applyAlignment="0" applyProtection="0"/>
    <xf numFmtId="165" fontId="60" fillId="0" borderId="0" applyFont="0" applyFill="0" applyBorder="0" applyAlignment="0" applyProtection="0"/>
    <xf numFmtId="165" fontId="60" fillId="0" borderId="0" applyFont="0" applyFill="0" applyBorder="0" applyAlignment="0" applyProtection="0"/>
    <xf numFmtId="173" fontId="36" fillId="0" borderId="0" applyFont="0" applyFill="0" applyBorder="0" applyAlignment="0" applyProtection="0"/>
    <xf numFmtId="165" fontId="60" fillId="0" borderId="0" applyFont="0" applyFill="0" applyBorder="0" applyAlignment="0" applyProtection="0"/>
    <xf numFmtId="165" fontId="36" fillId="0" borderId="0" applyFont="0" applyFill="0" applyBorder="0" applyAlignment="0" applyProtection="0"/>
    <xf numFmtId="165" fontId="60" fillId="0" borderId="0" applyFont="0" applyFill="0" applyBorder="0" applyAlignment="0" applyProtection="0"/>
    <xf numFmtId="165" fontId="60" fillId="0" borderId="0" applyFont="0" applyFill="0" applyBorder="0" applyAlignment="0" applyProtection="0"/>
    <xf numFmtId="165" fontId="60" fillId="0" borderId="0" applyFont="0" applyFill="0" applyBorder="0" applyAlignment="0" applyProtection="0"/>
    <xf numFmtId="0" fontId="24" fillId="0" borderId="0"/>
    <xf numFmtId="0" fontId="24" fillId="0" borderId="0"/>
    <xf numFmtId="0" fontId="24" fillId="0" borderId="0"/>
    <xf numFmtId="0" fontId="24" fillId="0" borderId="0"/>
    <xf numFmtId="0" fontId="35" fillId="0" borderId="0"/>
    <xf numFmtId="0" fontId="35" fillId="0" borderId="0"/>
    <xf numFmtId="0" fontId="24" fillId="0" borderId="0"/>
    <xf numFmtId="0" fontId="24" fillId="0" borderId="0"/>
    <xf numFmtId="0" fontId="24" fillId="0" borderId="0"/>
    <xf numFmtId="0" fontId="78" fillId="0" borderId="0" applyBorder="0" applyProtection="0"/>
    <xf numFmtId="0" fontId="79" fillId="0" borderId="0"/>
    <xf numFmtId="165" fontId="36" fillId="0" borderId="0" applyFont="0" applyFill="0" applyBorder="0" applyAlignment="0" applyProtection="0"/>
    <xf numFmtId="0" fontId="24" fillId="0" borderId="0"/>
    <xf numFmtId="0" fontId="23" fillId="0" borderId="0"/>
    <xf numFmtId="0" fontId="23" fillId="0" borderId="0"/>
    <xf numFmtId="0" fontId="23" fillId="0" borderId="0"/>
    <xf numFmtId="0" fontId="22" fillId="0" borderId="0"/>
    <xf numFmtId="0" fontId="21" fillId="0" borderId="0"/>
    <xf numFmtId="0" fontId="21" fillId="0" borderId="0"/>
    <xf numFmtId="0" fontId="21" fillId="0" borderId="0"/>
    <xf numFmtId="0" fontId="20"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5" fontId="36" fillId="0" borderId="0" applyFont="0" applyFill="0" applyBorder="0" applyAlignment="0" applyProtection="0"/>
    <xf numFmtId="0" fontId="19" fillId="0" borderId="0"/>
    <xf numFmtId="0" fontId="18" fillId="0" borderId="0"/>
    <xf numFmtId="0" fontId="17" fillId="0" borderId="0"/>
    <xf numFmtId="0" fontId="17" fillId="0" borderId="0"/>
    <xf numFmtId="0" fontId="17"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2" fillId="0" borderId="0"/>
    <xf numFmtId="0" fontId="11" fillId="0" borderId="0"/>
    <xf numFmtId="0" fontId="11" fillId="0" borderId="0"/>
    <xf numFmtId="0" fontId="10" fillId="0" borderId="0"/>
    <xf numFmtId="0" fontId="79" fillId="0" borderId="0"/>
    <xf numFmtId="0" fontId="79" fillId="0" borderId="0"/>
    <xf numFmtId="0" fontId="9" fillId="0" borderId="0"/>
    <xf numFmtId="0" fontId="8" fillId="0" borderId="0"/>
    <xf numFmtId="0" fontId="8" fillId="0" borderId="0"/>
    <xf numFmtId="0" fontId="85" fillId="0" borderId="0"/>
    <xf numFmtId="0" fontId="7" fillId="0" borderId="0"/>
    <xf numFmtId="164" fontId="27" fillId="0" borderId="0" applyFont="0" applyFill="0" applyBorder="0" applyAlignment="0" applyProtection="0"/>
    <xf numFmtId="164" fontId="35"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36" fillId="0" borderId="0" applyFont="0" applyFill="0" applyBorder="0" applyAlignment="0" applyProtection="0"/>
    <xf numFmtId="165" fontId="27" fillId="0" borderId="0" applyFont="0" applyFill="0" applyBorder="0" applyAlignment="0" applyProtection="0"/>
    <xf numFmtId="165" fontId="25"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36" fillId="0" borderId="0" applyFont="0" applyFill="0" applyBorder="0" applyAlignment="0" applyProtection="0"/>
    <xf numFmtId="165" fontId="6" fillId="0" borderId="0" applyFont="0" applyFill="0" applyBorder="0" applyAlignment="0" applyProtection="0"/>
    <xf numFmtId="165" fontId="3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5" fontId="3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5" fontId="36" fillId="0" borderId="0" applyFont="0" applyFill="0" applyBorder="0" applyAlignment="0" applyProtection="0"/>
    <xf numFmtId="0" fontId="6" fillId="0" borderId="0"/>
    <xf numFmtId="165" fontId="59"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7" fillId="0" borderId="0"/>
    <xf numFmtId="0" fontId="5" fillId="0" borderId="0"/>
    <xf numFmtId="0" fontId="5" fillId="0" borderId="0"/>
    <xf numFmtId="0" fontId="5"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6" fillId="0" borderId="0"/>
    <xf numFmtId="0" fontId="1" fillId="0" borderId="0"/>
    <xf numFmtId="43" fontId="59" fillId="0" borderId="0" applyFont="0" applyFill="0" applyBorder="0" applyAlignment="0" applyProtection="0"/>
  </cellStyleXfs>
  <cellXfs count="1958">
    <xf numFmtId="0" fontId="0" fillId="0" borderId="0" xfId="0"/>
    <xf numFmtId="0" fontId="42" fillId="0" borderId="0" xfId="0" applyFont="1" applyFill="1" applyBorder="1" applyAlignment="1">
      <alignment horizontal="center" vertical="center"/>
    </xf>
    <xf numFmtId="4" fontId="42" fillId="0" borderId="0" xfId="0" applyNumberFormat="1" applyFont="1" applyFill="1" applyBorder="1" applyAlignment="1">
      <alignment horizontal="left" vertical="center" wrapText="1"/>
    </xf>
    <xf numFmtId="4" fontId="42" fillId="0" borderId="0" xfId="0" applyNumberFormat="1" applyFont="1" applyFill="1" applyBorder="1" applyAlignment="1">
      <alignment horizontal="right" vertical="center" wrapText="1"/>
    </xf>
    <xf numFmtId="4" fontId="42" fillId="0" borderId="0" xfId="0" applyNumberFormat="1" applyFont="1" applyFill="1" applyBorder="1" applyAlignment="1">
      <alignment horizontal="center" vertical="center" wrapText="1"/>
    </xf>
    <xf numFmtId="171" fontId="42" fillId="0" borderId="0" xfId="0" applyNumberFormat="1" applyFont="1" applyFill="1" applyBorder="1" applyAlignment="1">
      <alignment vertical="center" wrapText="1"/>
    </xf>
    <xf numFmtId="4" fontId="42" fillId="0" borderId="0" xfId="0" applyNumberFormat="1" applyFont="1" applyFill="1" applyBorder="1" applyAlignment="1">
      <alignment horizontal="left" vertical="center"/>
    </xf>
    <xf numFmtId="0" fontId="62" fillId="0" borderId="0" xfId="39" applyFont="1"/>
    <xf numFmtId="2" fontId="62" fillId="2" borderId="1" xfId="39" applyNumberFormat="1" applyFont="1" applyFill="1" applyBorder="1" applyAlignment="1">
      <alignment horizontal="center" vertical="center" wrapText="1"/>
    </xf>
    <xf numFmtId="4" fontId="62" fillId="2" borderId="1" xfId="39" applyNumberFormat="1" applyFont="1" applyFill="1" applyBorder="1" applyAlignment="1">
      <alignment horizontal="center" vertical="center" wrapText="1"/>
    </xf>
    <xf numFmtId="171" fontId="62" fillId="2" borderId="1" xfId="39" applyNumberFormat="1" applyFont="1" applyFill="1" applyBorder="1" applyAlignment="1">
      <alignment horizontal="center" vertical="center"/>
    </xf>
    <xf numFmtId="4" fontId="62" fillId="0" borderId="0" xfId="39" applyNumberFormat="1" applyFont="1"/>
    <xf numFmtId="4" fontId="62" fillId="2" borderId="0" xfId="39" applyNumberFormat="1" applyFont="1" applyFill="1"/>
    <xf numFmtId="0" fontId="62" fillId="2" borderId="0" xfId="39" applyFont="1" applyFill="1"/>
    <xf numFmtId="0" fontId="63" fillId="0" borderId="1" xfId="39" applyFont="1" applyBorder="1" applyAlignment="1">
      <alignment horizontal="center" vertical="center"/>
    </xf>
    <xf numFmtId="0" fontId="63" fillId="2" borderId="1" xfId="39" applyFont="1" applyFill="1" applyBorder="1" applyAlignment="1">
      <alignment horizontal="center" vertical="center"/>
    </xf>
    <xf numFmtId="0" fontId="63" fillId="3" borderId="1" xfId="39" applyFont="1" applyFill="1" applyBorder="1" applyAlignment="1">
      <alignment horizontal="center" vertical="center" wrapText="1"/>
    </xf>
    <xf numFmtId="4" fontId="63" fillId="3" borderId="1" xfId="39" applyNumberFormat="1" applyFont="1" applyFill="1" applyBorder="1" applyAlignment="1">
      <alignment horizontal="center"/>
    </xf>
    <xf numFmtId="171" fontId="63" fillId="3" borderId="1" xfId="39" applyNumberFormat="1" applyFont="1" applyFill="1" applyBorder="1" applyAlignment="1">
      <alignment horizontal="center"/>
    </xf>
    <xf numFmtId="0" fontId="63" fillId="0" borderId="1" xfId="39" applyFont="1" applyBorder="1" applyAlignment="1">
      <alignment horizontal="center" vertical="center"/>
    </xf>
    <xf numFmtId="0" fontId="64" fillId="0" borderId="0" xfId="39" applyFont="1"/>
    <xf numFmtId="0" fontId="63" fillId="0" borderId="1" xfId="39" applyFont="1" applyBorder="1" applyAlignment="1">
      <alignment horizontal="center" vertical="center"/>
    </xf>
    <xf numFmtId="0" fontId="34" fillId="2" borderId="0" xfId="0" applyFont="1" applyFill="1" applyAlignment="1">
      <alignment vertical="center" wrapText="1"/>
    </xf>
    <xf numFmtId="0" fontId="34" fillId="2" borderId="1" xfId="0" applyFont="1" applyFill="1" applyBorder="1" applyAlignment="1">
      <alignment horizontal="center" vertical="center" wrapText="1"/>
    </xf>
    <xf numFmtId="168" fontId="34" fillId="2" borderId="1" xfId="0" applyNumberFormat="1" applyFont="1" applyFill="1" applyBorder="1" applyAlignment="1">
      <alignment horizontal="center" vertical="center" wrapText="1"/>
    </xf>
    <xf numFmtId="166" fontId="46" fillId="2" borderId="1" xfId="35" applyNumberFormat="1" applyFont="1" applyFill="1" applyBorder="1" applyAlignment="1">
      <alignment horizontal="center" vertical="center" wrapText="1"/>
    </xf>
    <xf numFmtId="4" fontId="46" fillId="2" borderId="0" xfId="35" applyNumberFormat="1" applyFont="1" applyFill="1" applyBorder="1" applyAlignment="1">
      <alignment vertical="center" wrapText="1"/>
    </xf>
    <xf numFmtId="4" fontId="47" fillId="2" borderId="0" xfId="0" applyNumberFormat="1" applyFont="1" applyFill="1" applyBorder="1" applyAlignment="1">
      <alignment horizontal="center" vertical="center" wrapText="1"/>
    </xf>
    <xf numFmtId="0" fontId="46" fillId="2" borderId="1" xfId="0" applyFont="1" applyFill="1" applyBorder="1" applyAlignment="1">
      <alignment horizontal="center" vertical="center" wrapText="1"/>
    </xf>
    <xf numFmtId="171" fontId="47" fillId="2" borderId="1" xfId="0" applyNumberFormat="1" applyFont="1" applyFill="1" applyBorder="1" applyAlignment="1">
      <alignment horizontal="center" vertical="center" wrapText="1"/>
    </xf>
    <xf numFmtId="4" fontId="42" fillId="2" borderId="0" xfId="0" applyNumberFormat="1" applyFont="1" applyFill="1" applyBorder="1" applyAlignment="1">
      <alignment horizontal="left" vertical="center"/>
    </xf>
    <xf numFmtId="4" fontId="45" fillId="2" borderId="0" xfId="0" applyNumberFormat="1" applyFont="1" applyFill="1" applyBorder="1" applyAlignment="1">
      <alignment horizontal="left" vertical="center"/>
    </xf>
    <xf numFmtId="4" fontId="45" fillId="2" borderId="0" xfId="0" applyNumberFormat="1" applyFont="1" applyFill="1" applyBorder="1" applyAlignment="1">
      <alignment horizontal="center" vertical="center" wrapText="1"/>
    </xf>
    <xf numFmtId="0" fontId="34" fillId="2" borderId="0" xfId="0" applyFont="1" applyFill="1" applyAlignment="1">
      <alignment horizontal="center" vertical="center" wrapText="1"/>
    </xf>
    <xf numFmtId="166" fontId="34" fillId="2" borderId="0" xfId="0" applyNumberFormat="1" applyFont="1" applyFill="1" applyAlignment="1">
      <alignment vertical="center" wrapText="1"/>
    </xf>
    <xf numFmtId="0" fontId="42" fillId="2" borderId="0" xfId="0" applyFont="1" applyFill="1" applyAlignment="1">
      <alignment horizontal="center" vertical="center" wrapText="1"/>
    </xf>
    <xf numFmtId="166" fontId="44" fillId="2" borderId="0" xfId="0" applyNumberFormat="1" applyFont="1" applyFill="1" applyAlignment="1">
      <alignment vertical="center" wrapText="1"/>
    </xf>
    <xf numFmtId="0" fontId="44" fillId="2" borderId="0" xfId="0" applyFont="1" applyFill="1" applyAlignment="1">
      <alignment horizontal="center" vertical="center" wrapText="1"/>
    </xf>
    <xf numFmtId="0" fontId="65" fillId="2" borderId="0" xfId="0" applyFont="1" applyFill="1" applyAlignment="1">
      <alignment vertical="center" wrapText="1"/>
    </xf>
    <xf numFmtId="4" fontId="34" fillId="2" borderId="0" xfId="0" applyNumberFormat="1" applyFont="1" applyFill="1" applyAlignment="1">
      <alignment vertical="center" wrapText="1"/>
    </xf>
    <xf numFmtId="0" fontId="34" fillId="2" borderId="1" xfId="0" applyFont="1" applyFill="1" applyBorder="1" applyAlignment="1">
      <alignment horizontal="center" vertical="center" wrapText="1"/>
    </xf>
    <xf numFmtId="0" fontId="34" fillId="2" borderId="1" xfId="35" applyFont="1" applyFill="1" applyBorder="1" applyAlignment="1">
      <alignment horizontal="center" vertical="center" textRotation="90" wrapText="1"/>
    </xf>
    <xf numFmtId="0" fontId="34" fillId="2" borderId="1" xfId="0" applyFont="1" applyFill="1" applyBorder="1" applyAlignment="1">
      <alignment horizontal="center" vertical="center" textRotation="90" wrapText="1"/>
    </xf>
    <xf numFmtId="0" fontId="34" fillId="2" borderId="0" xfId="20" applyFont="1" applyFill="1" applyAlignment="1">
      <alignment horizontal="center" vertical="center" wrapText="1"/>
    </xf>
    <xf numFmtId="0" fontId="34" fillId="2" borderId="1" xfId="71" applyFont="1" applyFill="1" applyBorder="1" applyAlignment="1">
      <alignment horizontal="left" vertical="center" wrapText="1"/>
    </xf>
    <xf numFmtId="167" fontId="34" fillId="2" borderId="1" xfId="71" applyNumberFormat="1" applyFont="1" applyFill="1" applyBorder="1" applyAlignment="1">
      <alignment horizontal="center" vertical="center"/>
    </xf>
    <xf numFmtId="4" fontId="34" fillId="2" borderId="1" xfId="71" applyNumberFormat="1" applyFont="1" applyFill="1" applyBorder="1" applyAlignment="1">
      <alignment horizontal="center" vertical="center"/>
    </xf>
    <xf numFmtId="168" fontId="34" fillId="2" borderId="1" xfId="71" applyNumberFormat="1" applyFont="1" applyFill="1" applyBorder="1" applyAlignment="1">
      <alignment horizontal="center" vertical="center"/>
    </xf>
    <xf numFmtId="4" fontId="34" fillId="2" borderId="1" xfId="0" applyNumberFormat="1" applyFont="1" applyFill="1" applyBorder="1" applyAlignment="1">
      <alignment horizontal="center" vertical="center" wrapText="1"/>
    </xf>
    <xf numFmtId="166" fontId="34" fillId="2" borderId="1" xfId="0" applyNumberFormat="1" applyFont="1" applyFill="1" applyBorder="1" applyAlignment="1">
      <alignment horizontal="center" vertical="center" wrapText="1"/>
    </xf>
    <xf numFmtId="166" fontId="47" fillId="2" borderId="0" xfId="20" applyNumberFormat="1" applyFont="1" applyFill="1" applyAlignment="1">
      <alignment vertical="center" wrapText="1"/>
    </xf>
    <xf numFmtId="167" fontId="34" fillId="2" borderId="0" xfId="0" applyNumberFormat="1" applyFont="1" applyFill="1" applyAlignment="1">
      <alignment vertical="center" wrapText="1"/>
    </xf>
    <xf numFmtId="0" fontId="34" fillId="2" borderId="1" xfId="0" applyFont="1" applyFill="1" applyBorder="1" applyAlignment="1">
      <alignment horizontal="left" vertical="center" wrapText="1"/>
    </xf>
    <xf numFmtId="167" fontId="34" fillId="2" borderId="1" xfId="0" applyNumberFormat="1" applyFont="1" applyFill="1" applyBorder="1" applyAlignment="1">
      <alignment horizontal="center" vertical="center" wrapText="1"/>
    </xf>
    <xf numFmtId="1" fontId="34" fillId="2" borderId="1" xfId="0" applyNumberFormat="1" applyFont="1" applyFill="1" applyBorder="1" applyAlignment="1">
      <alignment horizontal="center" vertical="center" wrapText="1"/>
    </xf>
    <xf numFmtId="0" fontId="34" fillId="2" borderId="1" xfId="0" applyFont="1" applyFill="1" applyBorder="1" applyAlignment="1">
      <alignment horizontal="left" vertical="center"/>
    </xf>
    <xf numFmtId="3" fontId="34" fillId="2" borderId="1" xfId="71" applyNumberFormat="1" applyFont="1" applyFill="1" applyBorder="1" applyAlignment="1">
      <alignment horizontal="center" vertical="center"/>
    </xf>
    <xf numFmtId="1" fontId="34" fillId="2" borderId="1" xfId="71" applyNumberFormat="1" applyFont="1" applyFill="1" applyBorder="1" applyAlignment="1">
      <alignment horizontal="center" vertical="center"/>
    </xf>
    <xf numFmtId="3" fontId="34" fillId="2" borderId="1" xfId="0" applyNumberFormat="1" applyFont="1" applyFill="1" applyBorder="1" applyAlignment="1">
      <alignment horizontal="center" vertical="center" wrapText="1"/>
    </xf>
    <xf numFmtId="4" fontId="46" fillId="2" borderId="1" xfId="35" applyNumberFormat="1" applyFont="1" applyFill="1" applyBorder="1" applyAlignment="1">
      <alignment horizontal="center" vertical="center" wrapText="1"/>
    </xf>
    <xf numFmtId="166" fontId="46" fillId="2" borderId="0" xfId="0" applyNumberFormat="1" applyFont="1" applyFill="1" applyAlignment="1">
      <alignment horizontal="center" vertical="center" wrapText="1"/>
    </xf>
    <xf numFmtId="165" fontId="46" fillId="2" borderId="0" xfId="0" applyNumberFormat="1" applyFont="1" applyFill="1" applyAlignment="1">
      <alignment horizontal="center" vertical="center" wrapText="1"/>
    </xf>
    <xf numFmtId="0" fontId="46" fillId="2" borderId="0" xfId="0" applyFont="1" applyFill="1" applyAlignment="1">
      <alignment horizontal="center" vertical="center" wrapText="1"/>
    </xf>
    <xf numFmtId="0" fontId="46" fillId="2" borderId="0" xfId="0" applyFont="1" applyFill="1" applyBorder="1" applyAlignment="1">
      <alignment horizontal="center" vertical="top"/>
    </xf>
    <xf numFmtId="0" fontId="46" fillId="2" borderId="0" xfId="0" applyFont="1" applyFill="1" applyBorder="1"/>
    <xf numFmtId="4" fontId="46" fillId="2" borderId="0" xfId="0" applyNumberFormat="1" applyFont="1" applyFill="1" applyBorder="1"/>
    <xf numFmtId="169" fontId="34" fillId="2" borderId="0" xfId="0" applyNumberFormat="1" applyFont="1" applyFill="1" applyAlignment="1">
      <alignment vertical="center" wrapText="1"/>
    </xf>
    <xf numFmtId="166" fontId="46" fillId="2" borderId="0" xfId="0" applyNumberFormat="1" applyFont="1" applyFill="1" applyAlignment="1">
      <alignment vertical="center" wrapText="1"/>
    </xf>
    <xf numFmtId="0" fontId="46" fillId="2" borderId="0" xfId="0" applyFont="1" applyFill="1" applyBorder="1" applyAlignment="1">
      <alignment vertical="top"/>
    </xf>
    <xf numFmtId="166" fontId="46" fillId="2" borderId="0" xfId="0" applyNumberFormat="1" applyFont="1" applyFill="1" applyBorder="1"/>
    <xf numFmtId="0" fontId="47" fillId="2" borderId="0" xfId="0" applyFont="1" applyFill="1" applyBorder="1" applyAlignment="1">
      <alignment horizontal="center" vertical="center" wrapText="1"/>
    </xf>
    <xf numFmtId="4" fontId="47" fillId="2" borderId="0" xfId="0" applyNumberFormat="1" applyFont="1" applyFill="1" applyBorder="1" applyAlignment="1">
      <alignment horizontal="left" vertical="center" wrapText="1"/>
    </xf>
    <xf numFmtId="171" fontId="47" fillId="2" borderId="0" xfId="0" applyNumberFormat="1" applyFont="1" applyFill="1" applyBorder="1" applyAlignment="1">
      <alignment horizontal="right" vertical="center" wrapText="1"/>
    </xf>
    <xf numFmtId="171" fontId="47" fillId="2" borderId="0" xfId="0" applyNumberFormat="1" applyFont="1" applyFill="1" applyBorder="1" applyAlignment="1">
      <alignment vertical="center" wrapText="1"/>
    </xf>
    <xf numFmtId="170" fontId="47" fillId="2" borderId="0" xfId="0" applyNumberFormat="1" applyFont="1" applyFill="1" applyBorder="1" applyAlignment="1">
      <alignment horizontal="center" vertical="center" wrapText="1"/>
    </xf>
    <xf numFmtId="0" fontId="47" fillId="2" borderId="0" xfId="0" applyFont="1" applyFill="1" applyAlignment="1">
      <alignment horizontal="center" vertical="center" wrapText="1"/>
    </xf>
    <xf numFmtId="4" fontId="47" fillId="2" borderId="0" xfId="0" applyNumberFormat="1" applyFont="1" applyFill="1" applyAlignment="1">
      <alignment horizontal="center" vertical="center" wrapText="1"/>
    </xf>
    <xf numFmtId="4" fontId="47" fillId="2" borderId="0" xfId="0" applyNumberFormat="1" applyFont="1" applyFill="1" applyBorder="1" applyAlignment="1">
      <alignment horizontal="right" vertical="center" wrapText="1"/>
    </xf>
    <xf numFmtId="0" fontId="46" fillId="2" borderId="1" xfId="0" applyFont="1" applyFill="1" applyBorder="1" applyAlignment="1">
      <alignment horizontal="center" vertical="center" wrapText="1"/>
    </xf>
    <xf numFmtId="0" fontId="46" fillId="2" borderId="0" xfId="0" applyFont="1" applyFill="1" applyBorder="1" applyAlignment="1">
      <alignment horizontal="center" vertical="center" wrapText="1"/>
    </xf>
    <xf numFmtId="171" fontId="47" fillId="2" borderId="0" xfId="0" applyNumberFormat="1" applyFont="1" applyFill="1" applyBorder="1" applyAlignment="1">
      <alignment horizontal="center" vertical="center" wrapText="1"/>
    </xf>
    <xf numFmtId="0" fontId="42" fillId="2" borderId="0" xfId="0" applyFont="1" applyFill="1" applyBorder="1" applyAlignment="1">
      <alignment horizontal="center" vertical="center" wrapText="1"/>
    </xf>
    <xf numFmtId="0" fontId="42" fillId="2" borderId="0" xfId="0" applyFont="1" applyFill="1" applyBorder="1" applyAlignment="1">
      <alignment horizontal="center" vertical="center"/>
    </xf>
    <xf numFmtId="4" fontId="42" fillId="2" borderId="0" xfId="0" applyNumberFormat="1" applyFont="1" applyFill="1" applyBorder="1" applyAlignment="1">
      <alignment horizontal="left" vertical="center" wrapText="1"/>
    </xf>
    <xf numFmtId="4" fontId="42" fillId="2" borderId="0" xfId="0" applyNumberFormat="1" applyFont="1" applyFill="1" applyBorder="1" applyAlignment="1">
      <alignment horizontal="right" vertical="center" wrapText="1"/>
    </xf>
    <xf numFmtId="4" fontId="42" fillId="2" borderId="0" xfId="0" applyNumberFormat="1" applyFont="1" applyFill="1" applyBorder="1" applyAlignment="1">
      <alignment horizontal="center" vertical="center" wrapText="1"/>
    </xf>
    <xf numFmtId="171" fontId="42" fillId="2" borderId="0" xfId="0" applyNumberFormat="1" applyFont="1" applyFill="1" applyBorder="1" applyAlignment="1">
      <alignment vertical="center" wrapText="1"/>
    </xf>
    <xf numFmtId="170" fontId="42" fillId="2" borderId="0" xfId="0" applyNumberFormat="1" applyFont="1" applyFill="1" applyBorder="1" applyAlignment="1">
      <alignment horizontal="center" vertical="center" wrapText="1"/>
    </xf>
    <xf numFmtId="4" fontId="42" fillId="2" borderId="0" xfId="0" applyNumberFormat="1" applyFont="1" applyFill="1" applyAlignment="1">
      <alignment horizontal="center" vertical="center" wrapText="1"/>
    </xf>
    <xf numFmtId="0" fontId="45" fillId="2" borderId="0" xfId="0" applyFont="1" applyFill="1" applyBorder="1" applyAlignment="1">
      <alignment horizontal="left" vertical="center"/>
    </xf>
    <xf numFmtId="4" fontId="46" fillId="2" borderId="0" xfId="0" applyNumberFormat="1" applyFont="1" applyFill="1" applyBorder="1" applyAlignment="1">
      <alignment horizontal="center" vertical="center" wrapText="1"/>
    </xf>
    <xf numFmtId="170" fontId="46" fillId="2" borderId="0" xfId="0" applyNumberFormat="1" applyFont="1" applyFill="1" applyBorder="1" applyAlignment="1">
      <alignment horizontal="center" vertical="center" wrapText="1"/>
    </xf>
    <xf numFmtId="0" fontId="45" fillId="2" borderId="0" xfId="0" applyFont="1" applyFill="1" applyBorder="1" applyAlignment="1">
      <alignment horizontal="center" vertical="center" wrapText="1"/>
    </xf>
    <xf numFmtId="169" fontId="45" fillId="2" borderId="0"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166" fontId="0" fillId="2" borderId="1" xfId="0" applyNumberFormat="1" applyFill="1" applyBorder="1" applyAlignment="1">
      <alignment horizontal="right" vertical="center" wrapText="1"/>
    </xf>
    <xf numFmtId="166" fontId="30" fillId="2" borderId="1" xfId="0" applyNumberFormat="1" applyFont="1" applyFill="1" applyBorder="1" applyAlignment="1">
      <alignment horizontal="right" vertical="center" wrapText="1"/>
    </xf>
    <xf numFmtId="166" fontId="38" fillId="2" borderId="1" xfId="0" applyNumberFormat="1" applyFont="1" applyFill="1" applyBorder="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vertical="center" wrapText="1"/>
    </xf>
    <xf numFmtId="0" fontId="0" fillId="2" borderId="0" xfId="0" applyFill="1" applyAlignment="1">
      <alignment horizontal="right" vertical="center" wrapText="1"/>
    </xf>
    <xf numFmtId="0" fontId="26" fillId="2" borderId="0" xfId="0" applyFont="1" applyFill="1" applyAlignment="1">
      <alignment horizontal="center" vertical="center" wrapText="1"/>
    </xf>
    <xf numFmtId="0" fontId="65" fillId="2" borderId="0" xfId="0" applyFont="1" applyFill="1" applyAlignment="1">
      <alignment horizontal="right" vertical="center" wrapText="1"/>
    </xf>
    <xf numFmtId="0" fontId="0" fillId="2" borderId="1" xfId="0" applyFill="1" applyBorder="1" applyAlignment="1">
      <alignment horizontal="center" vertical="center" wrapText="1"/>
    </xf>
    <xf numFmtId="0" fontId="66" fillId="2" borderId="1" xfId="35" applyFont="1" applyFill="1" applyBorder="1" applyAlignment="1">
      <alignment horizontal="center" vertical="center" textRotation="90" wrapText="1"/>
    </xf>
    <xf numFmtId="0" fontId="0" fillId="2" borderId="1" xfId="0" applyFill="1" applyBorder="1" applyAlignment="1">
      <alignment horizontal="center" vertical="center" textRotation="90" wrapText="1"/>
    </xf>
    <xf numFmtId="0" fontId="28" fillId="2" borderId="1" xfId="71" applyFont="1" applyFill="1" applyBorder="1" applyAlignment="1">
      <alignment vertical="center" wrapText="1"/>
    </xf>
    <xf numFmtId="169" fontId="28" fillId="2" borderId="1" xfId="0" applyNumberFormat="1" applyFont="1" applyFill="1" applyBorder="1" applyAlignment="1">
      <alignment vertical="center"/>
    </xf>
    <xf numFmtId="4" fontId="28" fillId="2" borderId="1" xfId="71" applyNumberFormat="1" applyFont="1" applyFill="1" applyBorder="1" applyAlignment="1">
      <alignment vertical="center"/>
    </xf>
    <xf numFmtId="166" fontId="28" fillId="2" borderId="1" xfId="71" applyNumberFormat="1" applyFont="1" applyFill="1" applyBorder="1" applyAlignment="1">
      <alignment vertical="center"/>
    </xf>
    <xf numFmtId="166" fontId="0" fillId="2" borderId="1" xfId="0" applyNumberFormat="1" applyFill="1" applyBorder="1" applyAlignment="1">
      <alignment vertical="center" wrapText="1"/>
    </xf>
    <xf numFmtId="4" fontId="0" fillId="2" borderId="1" xfId="0" applyNumberFormat="1" applyFill="1" applyBorder="1" applyAlignment="1">
      <alignment horizontal="right" vertical="center" wrapText="1"/>
    </xf>
    <xf numFmtId="168" fontId="0" fillId="2" borderId="1" xfId="0" applyNumberFormat="1" applyFill="1" applyBorder="1" applyAlignment="1">
      <alignment horizontal="center" vertical="center" wrapText="1"/>
    </xf>
    <xf numFmtId="4" fontId="0" fillId="2" borderId="1" xfId="0" applyNumberFormat="1" applyFill="1" applyBorder="1" applyAlignment="1">
      <alignment horizontal="center" vertical="center" wrapText="1"/>
    </xf>
    <xf numFmtId="166" fontId="0" fillId="2" borderId="0" xfId="0" applyNumberFormat="1" applyFill="1" applyAlignment="1">
      <alignment vertical="center" wrapText="1"/>
    </xf>
    <xf numFmtId="167" fontId="0" fillId="2" borderId="0" xfId="0" applyNumberFormat="1" applyFill="1" applyAlignment="1">
      <alignment vertical="center" wrapText="1"/>
    </xf>
    <xf numFmtId="166" fontId="50" fillId="2" borderId="0" xfId="20" applyNumberFormat="1" applyFont="1" applyFill="1" applyAlignment="1">
      <alignment vertical="center" wrapText="1"/>
    </xf>
    <xf numFmtId="0" fontId="28" fillId="2" borderId="1" xfId="0" applyFont="1" applyFill="1" applyBorder="1" applyAlignment="1">
      <alignment wrapText="1"/>
    </xf>
    <xf numFmtId="0" fontId="30" fillId="2" borderId="1" xfId="0" applyFont="1" applyFill="1" applyBorder="1" applyAlignment="1">
      <alignment horizontal="center" vertical="center" wrapText="1"/>
    </xf>
    <xf numFmtId="4" fontId="0" fillId="2" borderId="1" xfId="0" applyNumberFormat="1" applyFill="1" applyBorder="1" applyAlignment="1">
      <alignment vertical="center" wrapText="1"/>
    </xf>
    <xf numFmtId="1" fontId="30" fillId="2" borderId="1" xfId="0" applyNumberFormat="1" applyFont="1" applyFill="1" applyBorder="1" applyAlignment="1">
      <alignment horizontal="center" vertical="center" wrapText="1"/>
    </xf>
    <xf numFmtId="3" fontId="28" fillId="2" borderId="1" xfId="0" applyNumberFormat="1" applyFont="1" applyFill="1" applyBorder="1" applyAlignment="1">
      <alignment horizontal="left" wrapText="1"/>
    </xf>
    <xf numFmtId="3" fontId="30" fillId="2" borderId="1" xfId="0" applyNumberFormat="1" applyFont="1" applyFill="1" applyBorder="1" applyAlignment="1">
      <alignment horizontal="center" vertical="center" wrapText="1"/>
    </xf>
    <xf numFmtId="4" fontId="30" fillId="2" borderId="1" xfId="0" applyNumberFormat="1" applyFont="1" applyFill="1" applyBorder="1" applyAlignment="1">
      <alignment vertical="center" wrapText="1"/>
    </xf>
    <xf numFmtId="166" fontId="30" fillId="2" borderId="1" xfId="0" applyNumberFormat="1" applyFont="1" applyFill="1" applyBorder="1" applyAlignment="1">
      <alignment vertical="center" wrapText="1"/>
    </xf>
    <xf numFmtId="166" fontId="30" fillId="2" borderId="1" xfId="0" applyNumberFormat="1" applyFont="1" applyFill="1" applyBorder="1" applyAlignment="1">
      <alignment horizontal="center" vertical="center" wrapText="1"/>
    </xf>
    <xf numFmtId="0" fontId="30" fillId="2" borderId="0" xfId="0" applyFont="1" applyFill="1" applyAlignment="1">
      <alignment horizontal="center" vertical="center" wrapText="1"/>
    </xf>
    <xf numFmtId="1" fontId="0" fillId="2" borderId="1" xfId="0" applyNumberFormat="1" applyFill="1" applyBorder="1" applyAlignment="1">
      <alignment horizontal="center" vertical="center" wrapText="1"/>
    </xf>
    <xf numFmtId="1" fontId="28" fillId="2" borderId="1" xfId="71" applyNumberFormat="1" applyFont="1" applyFill="1" applyBorder="1" applyAlignment="1">
      <alignment horizontal="center" vertical="center"/>
    </xf>
    <xf numFmtId="0" fontId="28" fillId="2" borderId="1" xfId="0" applyFont="1" applyFill="1" applyBorder="1" applyAlignment="1">
      <alignment horizontal="left" wrapText="1"/>
    </xf>
    <xf numFmtId="0" fontId="67" fillId="2" borderId="0" xfId="0" applyFont="1" applyFill="1" applyAlignment="1">
      <alignment vertical="center" wrapText="1"/>
    </xf>
    <xf numFmtId="4" fontId="0" fillId="2" borderId="0" xfId="0" applyNumberFormat="1" applyFill="1" applyAlignment="1">
      <alignment vertical="center" wrapText="1"/>
    </xf>
    <xf numFmtId="4" fontId="0" fillId="2" borderId="2" xfId="0" applyNumberFormat="1" applyFill="1" applyBorder="1" applyAlignment="1">
      <alignment vertical="center" wrapText="1"/>
    </xf>
    <xf numFmtId="4" fontId="0" fillId="2" borderId="0" xfId="0" applyNumberFormat="1" applyFill="1" applyBorder="1" applyAlignment="1">
      <alignment vertical="center" wrapText="1"/>
    </xf>
    <xf numFmtId="167" fontId="46" fillId="2" borderId="0" xfId="0" applyNumberFormat="1" applyFont="1" applyFill="1" applyAlignment="1">
      <alignment horizontal="center" vertical="center" wrapText="1"/>
    </xf>
    <xf numFmtId="2" fontId="46" fillId="2" borderId="0" xfId="0" applyNumberFormat="1" applyFont="1" applyFill="1" applyAlignment="1">
      <alignment horizontal="center" vertical="center" wrapText="1"/>
    </xf>
    <xf numFmtId="0" fontId="62" fillId="2" borderId="0" xfId="0" applyFont="1" applyFill="1" applyBorder="1" applyAlignment="1">
      <alignment horizontal="center" vertical="center" wrapText="1"/>
    </xf>
    <xf numFmtId="4" fontId="62" fillId="2" borderId="0" xfId="0" applyNumberFormat="1" applyFont="1" applyFill="1" applyBorder="1" applyAlignment="1">
      <alignment horizontal="left" vertical="center" wrapText="1"/>
    </xf>
    <xf numFmtId="171" fontId="62" fillId="2" borderId="0" xfId="0" applyNumberFormat="1" applyFont="1" applyFill="1" applyBorder="1" applyAlignment="1">
      <alignment horizontal="right" vertical="center" wrapText="1"/>
    </xf>
    <xf numFmtId="171" fontId="62" fillId="2" borderId="0" xfId="0" applyNumberFormat="1" applyFont="1" applyFill="1" applyBorder="1" applyAlignment="1">
      <alignment vertical="center" wrapText="1"/>
    </xf>
    <xf numFmtId="4" fontId="62" fillId="2" borderId="0" xfId="0" applyNumberFormat="1" applyFont="1" applyFill="1" applyBorder="1" applyAlignment="1">
      <alignment horizontal="center" vertical="center" wrapText="1"/>
    </xf>
    <xf numFmtId="170" fontId="62" fillId="2" borderId="0" xfId="0" applyNumberFormat="1" applyFont="1" applyFill="1" applyBorder="1" applyAlignment="1">
      <alignment horizontal="center" vertical="center" wrapText="1"/>
    </xf>
    <xf numFmtId="4" fontId="62" fillId="2" borderId="0" xfId="0" applyNumberFormat="1" applyFont="1" applyFill="1" applyAlignment="1">
      <alignment horizontal="center" vertical="center" wrapText="1"/>
    </xf>
    <xf numFmtId="0" fontId="62" fillId="2" borderId="0" xfId="0" applyFont="1" applyFill="1" applyAlignment="1">
      <alignment horizontal="center" vertical="center" wrapText="1"/>
    </xf>
    <xf numFmtId="4" fontId="62" fillId="2" borderId="0" xfId="0" applyNumberFormat="1" applyFont="1" applyFill="1" applyBorder="1" applyAlignment="1">
      <alignment horizontal="right" vertical="center" wrapText="1"/>
    </xf>
    <xf numFmtId="0" fontId="68" fillId="2" borderId="0" xfId="0" applyFont="1" applyFill="1" applyBorder="1" applyAlignment="1">
      <alignment horizontal="left" vertical="center"/>
    </xf>
    <xf numFmtId="4" fontId="68" fillId="2" borderId="0" xfId="0" applyNumberFormat="1" applyFont="1" applyFill="1" applyBorder="1" applyAlignment="1">
      <alignment horizontal="left" vertical="center"/>
    </xf>
    <xf numFmtId="4" fontId="63" fillId="2" borderId="0" xfId="0" applyNumberFormat="1" applyFont="1" applyFill="1" applyBorder="1" applyAlignment="1">
      <alignment horizontal="center" vertical="center" wrapText="1"/>
    </xf>
    <xf numFmtId="170" fontId="63" fillId="2" borderId="0" xfId="0" applyNumberFormat="1" applyFont="1" applyFill="1" applyBorder="1" applyAlignment="1">
      <alignment horizontal="center" vertical="center" wrapText="1"/>
    </xf>
    <xf numFmtId="0" fontId="68" fillId="2" borderId="0" xfId="0" applyFont="1" applyFill="1" applyBorder="1" applyAlignment="1">
      <alignment horizontal="center" vertical="center" wrapText="1"/>
    </xf>
    <xf numFmtId="169" fontId="68" fillId="2" borderId="0" xfId="0" applyNumberFormat="1" applyFont="1" applyFill="1" applyBorder="1" applyAlignment="1">
      <alignment horizontal="center" vertical="center" wrapText="1"/>
    </xf>
    <xf numFmtId="4" fontId="68" fillId="2" borderId="0" xfId="0" applyNumberFormat="1" applyFont="1" applyFill="1" applyBorder="1" applyAlignment="1">
      <alignment horizontal="center" vertical="center" wrapText="1"/>
    </xf>
    <xf numFmtId="0" fontId="69" fillId="2" borderId="0" xfId="0" applyFont="1" applyFill="1" applyAlignment="1">
      <alignment horizontal="center" vertical="center"/>
    </xf>
    <xf numFmtId="170" fontId="0" fillId="2" borderId="0" xfId="0" applyNumberFormat="1" applyFill="1" applyAlignment="1">
      <alignment vertical="center" wrapText="1"/>
    </xf>
    <xf numFmtId="166" fontId="34" fillId="2" borderId="1" xfId="0" applyNumberFormat="1" applyFont="1" applyFill="1" applyBorder="1" applyAlignment="1">
      <alignment horizontal="right" vertical="center" wrapText="1"/>
    </xf>
    <xf numFmtId="166" fontId="34" fillId="2" borderId="1" xfId="0" applyNumberFormat="1" applyFont="1" applyFill="1" applyBorder="1" applyAlignment="1">
      <alignment vertical="center" wrapText="1"/>
    </xf>
    <xf numFmtId="166" fontId="49" fillId="2" borderId="1" xfId="0" applyNumberFormat="1" applyFont="1" applyFill="1" applyBorder="1" applyAlignment="1">
      <alignment horizontal="center" vertical="center" wrapText="1"/>
    </xf>
    <xf numFmtId="4" fontId="34" fillId="2" borderId="0" xfId="0" applyNumberFormat="1" applyFont="1" applyFill="1" applyBorder="1" applyAlignment="1">
      <alignment vertical="center" wrapText="1"/>
    </xf>
    <xf numFmtId="0" fontId="29" fillId="2" borderId="0" xfId="0" applyFont="1" applyFill="1" applyBorder="1" applyAlignment="1">
      <alignment horizontal="center" vertical="center" wrapText="1"/>
    </xf>
    <xf numFmtId="4" fontId="50" fillId="2" borderId="0" xfId="0" applyNumberFormat="1" applyFont="1" applyFill="1" applyBorder="1" applyAlignment="1">
      <alignment horizontal="center" vertical="center" wrapText="1"/>
    </xf>
    <xf numFmtId="4" fontId="51" fillId="2" borderId="0" xfId="0" applyNumberFormat="1" applyFont="1" applyFill="1" applyBorder="1" applyAlignment="1">
      <alignment horizontal="left" vertical="center"/>
    </xf>
    <xf numFmtId="4" fontId="51" fillId="2" borderId="0" xfId="0" applyNumberFormat="1" applyFont="1" applyFill="1" applyBorder="1" applyAlignment="1">
      <alignment horizontal="center" vertical="center" wrapText="1"/>
    </xf>
    <xf numFmtId="1" fontId="28" fillId="2" borderId="1" xfId="0" applyNumberFormat="1" applyFont="1" applyFill="1" applyBorder="1" applyAlignment="1">
      <alignment horizontal="center" vertical="center" wrapText="1"/>
    </xf>
    <xf numFmtId="168" fontId="28" fillId="2" borderId="1" xfId="0" applyNumberFormat="1" applyFont="1" applyFill="1" applyBorder="1" applyAlignment="1">
      <alignment horizontal="center" vertical="center" wrapText="1"/>
    </xf>
    <xf numFmtId="4" fontId="28" fillId="2" borderId="1" xfId="0" applyNumberFormat="1" applyFont="1" applyFill="1" applyBorder="1" applyAlignment="1">
      <alignment horizontal="center" vertical="center" wrapText="1"/>
    </xf>
    <xf numFmtId="0" fontId="34" fillId="2" borderId="0" xfId="0" applyFont="1" applyFill="1" applyBorder="1" applyAlignment="1">
      <alignment horizontal="center" vertical="center" wrapText="1"/>
    </xf>
    <xf numFmtId="0" fontId="28" fillId="2" borderId="1" xfId="71" applyFont="1" applyFill="1" applyBorder="1" applyAlignment="1">
      <alignment wrapText="1"/>
    </xf>
    <xf numFmtId="2" fontId="34" fillId="2" borderId="1" xfId="0" applyNumberFormat="1" applyFont="1" applyFill="1" applyBorder="1" applyAlignment="1">
      <alignment horizontal="center" vertical="center" wrapText="1"/>
    </xf>
    <xf numFmtId="169" fontId="28" fillId="2" borderId="1" xfId="71" applyNumberFormat="1" applyFont="1" applyFill="1" applyBorder="1" applyAlignment="1">
      <alignment horizontal="right" vertical="center"/>
    </xf>
    <xf numFmtId="4" fontId="28" fillId="2" borderId="1" xfId="71" applyNumberFormat="1" applyFont="1" applyFill="1" applyBorder="1" applyAlignment="1">
      <alignment horizontal="right" vertical="center"/>
    </xf>
    <xf numFmtId="166" fontId="28" fillId="2" borderId="1" xfId="71" applyNumberFormat="1" applyFont="1" applyFill="1" applyBorder="1" applyAlignment="1">
      <alignment horizontal="right" vertical="center"/>
    </xf>
    <xf numFmtId="4" fontId="34" fillId="2" borderId="1" xfId="0" applyNumberFormat="1" applyFont="1" applyFill="1" applyBorder="1" applyAlignment="1">
      <alignment horizontal="right" vertical="center" wrapText="1"/>
    </xf>
    <xf numFmtId="2" fontId="28" fillId="2" borderId="1" xfId="71" applyNumberFormat="1" applyFont="1" applyFill="1" applyBorder="1" applyAlignment="1">
      <alignment horizontal="center" vertical="center"/>
    </xf>
    <xf numFmtId="167" fontId="28" fillId="2" borderId="1" xfId="0" applyNumberFormat="1" applyFont="1" applyFill="1" applyBorder="1" applyAlignment="1">
      <alignment horizontal="right" vertical="center" wrapText="1"/>
    </xf>
    <xf numFmtId="2" fontId="28" fillId="2" borderId="1" xfId="71" applyNumberFormat="1" applyFont="1" applyFill="1" applyBorder="1" applyAlignment="1">
      <alignment horizontal="center"/>
    </xf>
    <xf numFmtId="169" fontId="28" fillId="2" borderId="1" xfId="35" applyNumberFormat="1" applyFont="1" applyFill="1" applyBorder="1" applyAlignment="1">
      <alignment horizontal="right" vertical="center" wrapText="1"/>
    </xf>
    <xf numFmtId="0" fontId="34" fillId="2" borderId="1" xfId="71" applyFont="1" applyFill="1" applyBorder="1"/>
    <xf numFmtId="169" fontId="34" fillId="2" borderId="1" xfId="0" applyNumberFormat="1" applyFont="1" applyFill="1" applyBorder="1" applyAlignment="1">
      <alignment horizontal="right" vertical="center"/>
    </xf>
    <xf numFmtId="0" fontId="34" fillId="2" borderId="1" xfId="71" applyFont="1" applyFill="1" applyBorder="1" applyAlignment="1">
      <alignment wrapText="1"/>
    </xf>
    <xf numFmtId="2" fontId="34" fillId="2" borderId="1" xfId="71" applyNumberFormat="1" applyFont="1" applyFill="1" applyBorder="1" applyAlignment="1">
      <alignment horizontal="center" vertical="center"/>
    </xf>
    <xf numFmtId="2" fontId="34" fillId="2" borderId="1" xfId="71" applyNumberFormat="1" applyFont="1" applyFill="1" applyBorder="1" applyAlignment="1">
      <alignment horizontal="center"/>
    </xf>
    <xf numFmtId="0" fontId="28" fillId="2" borderId="1" xfId="71" applyFont="1" applyFill="1" applyBorder="1" applyAlignment="1">
      <alignment horizontal="left" vertical="center" wrapText="1"/>
    </xf>
    <xf numFmtId="167" fontId="34" fillId="2" borderId="1" xfId="0" applyNumberFormat="1" applyFont="1" applyFill="1" applyBorder="1" applyAlignment="1">
      <alignment horizontal="right" vertical="center" wrapText="1"/>
    </xf>
    <xf numFmtId="167" fontId="34" fillId="2" borderId="1" xfId="0" applyNumberFormat="1" applyFont="1" applyFill="1" applyBorder="1" applyAlignment="1">
      <alignment vertical="center" wrapText="1"/>
    </xf>
    <xf numFmtId="4" fontId="28" fillId="2" borderId="1" xfId="0" applyNumberFormat="1" applyFont="1" applyFill="1" applyBorder="1" applyAlignment="1">
      <alignment vertical="center" wrapText="1"/>
    </xf>
    <xf numFmtId="166" fontId="28" fillId="2" borderId="1" xfId="71" applyNumberFormat="1" applyFont="1" applyFill="1" applyBorder="1" applyAlignment="1">
      <alignment horizontal="right"/>
    </xf>
    <xf numFmtId="166" fontId="28" fillId="2" borderId="1" xfId="0" applyNumberFormat="1" applyFont="1" applyFill="1" applyBorder="1" applyAlignment="1">
      <alignment vertical="center" wrapText="1"/>
    </xf>
    <xf numFmtId="166" fontId="28" fillId="2" borderId="0" xfId="0" applyNumberFormat="1" applyFont="1" applyFill="1" applyAlignment="1">
      <alignment vertical="center" wrapText="1"/>
    </xf>
    <xf numFmtId="0" fontId="28" fillId="2" borderId="0" xfId="0" applyFont="1" applyFill="1" applyAlignment="1">
      <alignment vertical="center" wrapText="1"/>
    </xf>
    <xf numFmtId="2" fontId="49" fillId="2" borderId="1" xfId="0" applyNumberFormat="1" applyFont="1" applyFill="1" applyBorder="1" applyAlignment="1">
      <alignment horizontal="center" vertical="center" wrapText="1"/>
    </xf>
    <xf numFmtId="4" fontId="49" fillId="2" borderId="1" xfId="0" applyNumberFormat="1" applyFont="1" applyFill="1" applyBorder="1" applyAlignment="1">
      <alignment horizontal="center" vertical="center" wrapText="1"/>
    </xf>
    <xf numFmtId="2" fontId="34" fillId="2" borderId="0" xfId="0" applyNumberFormat="1" applyFont="1" applyFill="1" applyAlignment="1">
      <alignment vertical="center" wrapText="1"/>
    </xf>
    <xf numFmtId="0" fontId="49" fillId="2" borderId="0" xfId="0" applyFont="1" applyFill="1" applyAlignment="1">
      <alignment vertical="center" wrapText="1"/>
    </xf>
    <xf numFmtId="0" fontId="29" fillId="2" borderId="0" xfId="0" applyFont="1" applyFill="1" applyBorder="1" applyAlignment="1">
      <alignment vertical="center"/>
    </xf>
    <xf numFmtId="169" fontId="29" fillId="2" borderId="0" xfId="0" applyNumberFormat="1" applyFont="1" applyFill="1" applyBorder="1" applyAlignment="1">
      <alignment horizontal="center" vertical="center" wrapText="1"/>
    </xf>
    <xf numFmtId="0" fontId="34" fillId="2" borderId="0" xfId="0" applyFont="1" applyFill="1" applyBorder="1" applyAlignment="1">
      <alignment vertical="center" wrapText="1"/>
    </xf>
    <xf numFmtId="166" fontId="34" fillId="2" borderId="0" xfId="0" applyNumberFormat="1" applyFont="1" applyFill="1" applyBorder="1" applyAlignment="1">
      <alignment vertical="center" wrapText="1"/>
    </xf>
    <xf numFmtId="0" fontId="50" fillId="2" borderId="0" xfId="0" applyFont="1" applyFill="1" applyBorder="1" applyAlignment="1">
      <alignment horizontal="center" vertical="center" wrapText="1"/>
    </xf>
    <xf numFmtId="4" fontId="50" fillId="2" borderId="0" xfId="0" applyNumberFormat="1" applyFont="1" applyFill="1" applyBorder="1" applyAlignment="1">
      <alignment horizontal="left" vertical="center" wrapText="1"/>
    </xf>
    <xf numFmtId="4" fontId="50" fillId="2" borderId="0" xfId="0" applyNumberFormat="1" applyFont="1" applyFill="1" applyBorder="1" applyAlignment="1">
      <alignment horizontal="right" vertical="center" wrapText="1"/>
    </xf>
    <xf numFmtId="171" fontId="50" fillId="2" borderId="0" xfId="0" applyNumberFormat="1" applyFont="1" applyFill="1" applyBorder="1" applyAlignment="1">
      <alignment vertical="center" wrapText="1"/>
    </xf>
    <xf numFmtId="170" fontId="50" fillId="2" borderId="0" xfId="0" applyNumberFormat="1" applyFont="1" applyFill="1" applyBorder="1" applyAlignment="1">
      <alignment horizontal="center" vertical="center" wrapText="1"/>
    </xf>
    <xf numFmtId="49" fontId="48" fillId="2" borderId="0" xfId="0" applyNumberFormat="1" applyFont="1" applyFill="1" applyBorder="1" applyAlignment="1" applyProtection="1">
      <alignment horizontal="center" vertical="center" wrapText="1"/>
    </xf>
    <xf numFmtId="4" fontId="48" fillId="2" borderId="0" xfId="0" applyNumberFormat="1" applyFont="1" applyFill="1" applyBorder="1" applyAlignment="1" applyProtection="1">
      <alignment horizontal="right" vertical="center" wrapText="1"/>
    </xf>
    <xf numFmtId="4" fontId="50" fillId="2" borderId="0" xfId="0" applyNumberFormat="1" applyFont="1" applyFill="1" applyAlignment="1">
      <alignment horizontal="center" vertical="center" wrapText="1"/>
    </xf>
    <xf numFmtId="0" fontId="50" fillId="2" borderId="0" xfId="0" applyFont="1" applyFill="1" applyAlignment="1">
      <alignment horizontal="center" vertical="center" wrapText="1"/>
    </xf>
    <xf numFmtId="0" fontId="51" fillId="2" borderId="0" xfId="0" applyFont="1" applyFill="1" applyBorder="1" applyAlignment="1">
      <alignment horizontal="left" vertical="center"/>
    </xf>
    <xf numFmtId="4" fontId="49" fillId="2" borderId="0" xfId="0" applyNumberFormat="1" applyFont="1" applyFill="1" applyBorder="1" applyAlignment="1">
      <alignment horizontal="center" vertical="center" wrapText="1"/>
    </xf>
    <xf numFmtId="170" fontId="49" fillId="2" borderId="0" xfId="0" applyNumberFormat="1" applyFont="1" applyFill="1" applyBorder="1" applyAlignment="1">
      <alignment horizontal="center" vertical="center" wrapText="1"/>
    </xf>
    <xf numFmtId="0" fontId="51" fillId="2" borderId="0" xfId="0" applyFont="1" applyFill="1" applyBorder="1" applyAlignment="1">
      <alignment horizontal="center" vertical="center" wrapText="1"/>
    </xf>
    <xf numFmtId="169" fontId="51" fillId="2" borderId="0" xfId="0" applyNumberFormat="1" applyFont="1" applyFill="1" applyBorder="1" applyAlignment="1">
      <alignment horizontal="center" vertical="center" wrapText="1"/>
    </xf>
    <xf numFmtId="0" fontId="47" fillId="2" borderId="0" xfId="0" applyFont="1" applyFill="1" applyAlignment="1">
      <alignment vertical="center" wrapText="1"/>
    </xf>
    <xf numFmtId="0" fontId="47" fillId="2" borderId="0" xfId="20" applyFont="1" applyFill="1" applyAlignment="1">
      <alignment horizontal="center" vertical="center" wrapText="1"/>
    </xf>
    <xf numFmtId="169" fontId="34" fillId="2" borderId="1" xfId="20" applyNumberFormat="1" applyFont="1" applyFill="1" applyBorder="1" applyAlignment="1">
      <alignment horizontal="right" vertical="center"/>
    </xf>
    <xf numFmtId="4" fontId="34" fillId="2" borderId="1" xfId="71" applyNumberFormat="1" applyFont="1" applyFill="1" applyBorder="1" applyAlignment="1">
      <alignment horizontal="right" vertical="center"/>
    </xf>
    <xf numFmtId="166" fontId="34" fillId="2" borderId="1" xfId="71" applyNumberFormat="1" applyFont="1" applyFill="1" applyBorder="1" applyAlignment="1">
      <alignment horizontal="right" vertical="center"/>
    </xf>
    <xf numFmtId="166" fontId="47" fillId="2" borderId="0" xfId="0" applyNumberFormat="1" applyFont="1" applyFill="1" applyAlignment="1">
      <alignment vertical="center" wrapText="1"/>
    </xf>
    <xf numFmtId="167" fontId="47" fillId="2" borderId="0" xfId="0" applyNumberFormat="1" applyFont="1" applyFill="1" applyAlignment="1">
      <alignment vertical="center" wrapText="1"/>
    </xf>
    <xf numFmtId="0" fontId="34" fillId="2" borderId="1" xfId="20" applyFont="1" applyFill="1" applyBorder="1" applyAlignment="1">
      <alignment horizontal="left" vertical="center" wrapText="1"/>
    </xf>
    <xf numFmtId="3" fontId="34" fillId="2" borderId="1" xfId="0" applyNumberFormat="1" applyFont="1" applyFill="1" applyBorder="1" applyAlignment="1">
      <alignment horizontal="center"/>
    </xf>
    <xf numFmtId="166" fontId="34" fillId="2" borderId="0" xfId="0" applyNumberFormat="1" applyFont="1" applyFill="1" applyAlignment="1">
      <alignment horizontal="center" vertical="center" wrapText="1"/>
    </xf>
    <xf numFmtId="168" fontId="47" fillId="2" borderId="0" xfId="0" applyNumberFormat="1" applyFont="1" applyFill="1" applyAlignment="1">
      <alignment vertical="center" wrapText="1"/>
    </xf>
    <xf numFmtId="168" fontId="47" fillId="2" borderId="0" xfId="20" applyNumberFormat="1" applyFont="1" applyFill="1" applyAlignment="1">
      <alignment vertical="center" wrapText="1"/>
    </xf>
    <xf numFmtId="168" fontId="46" fillId="2" borderId="0" xfId="0" applyNumberFormat="1" applyFont="1" applyFill="1" applyAlignment="1">
      <alignment horizontal="center" vertical="center" wrapText="1"/>
    </xf>
    <xf numFmtId="3" fontId="34" fillId="2" borderId="1" xfId="20" applyNumberFormat="1" applyFont="1" applyFill="1" applyBorder="1" applyAlignment="1">
      <alignment horizontal="center" vertical="center"/>
    </xf>
    <xf numFmtId="0" fontId="29" fillId="2" borderId="1" xfId="0" applyFont="1" applyFill="1" applyBorder="1" applyAlignment="1">
      <alignment horizontal="left" vertical="center"/>
    </xf>
    <xf numFmtId="4" fontId="34" fillId="2" borderId="1" xfId="71" applyNumberFormat="1" applyFont="1" applyFill="1" applyBorder="1" applyAlignment="1">
      <alignment horizontal="right"/>
    </xf>
    <xf numFmtId="166" fontId="34" fillId="2" borderId="1" xfId="71" applyNumberFormat="1" applyFont="1" applyFill="1" applyBorder="1" applyAlignment="1">
      <alignment horizontal="right"/>
    </xf>
    <xf numFmtId="2" fontId="28" fillId="2" borderId="1" xfId="0" applyNumberFormat="1" applyFont="1" applyFill="1" applyBorder="1" applyAlignment="1">
      <alignment horizontal="right" wrapText="1"/>
    </xf>
    <xf numFmtId="0" fontId="34" fillId="2" borderId="1" xfId="0" applyFont="1" applyFill="1" applyBorder="1" applyAlignment="1">
      <alignment horizontal="left" wrapText="1"/>
    </xf>
    <xf numFmtId="2" fontId="46" fillId="2" borderId="1" xfId="0" applyNumberFormat="1" applyFont="1" applyFill="1" applyBorder="1" applyAlignment="1">
      <alignment horizontal="center" vertical="center" wrapText="1"/>
    </xf>
    <xf numFmtId="171" fontId="46" fillId="2" borderId="1" xfId="0" applyNumberFormat="1" applyFont="1" applyFill="1" applyBorder="1" applyAlignment="1">
      <alignment horizontal="center" vertical="center" wrapText="1"/>
    </xf>
    <xf numFmtId="4" fontId="34" fillId="2" borderId="0" xfId="0" applyNumberFormat="1" applyFont="1" applyFill="1" applyBorder="1" applyAlignment="1">
      <alignment horizontal="center" vertical="center" wrapText="1"/>
    </xf>
    <xf numFmtId="0" fontId="34" fillId="2" borderId="1" xfId="0" applyFont="1" applyFill="1" applyBorder="1" applyAlignment="1">
      <alignment vertical="center" wrapText="1"/>
    </xf>
    <xf numFmtId="0" fontId="53" fillId="2" borderId="1" xfId="0" applyFont="1" applyFill="1" applyBorder="1" applyAlignment="1">
      <alignment vertical="center" wrapText="1"/>
    </xf>
    <xf numFmtId="0" fontId="26" fillId="2" borderId="0" xfId="0" applyFont="1" applyFill="1" applyAlignment="1">
      <alignment vertical="center" wrapText="1"/>
    </xf>
    <xf numFmtId="0" fontId="28" fillId="2" borderId="1" xfId="0" applyFont="1" applyFill="1" applyBorder="1" applyAlignment="1">
      <alignment horizontal="left" vertical="center" wrapText="1"/>
    </xf>
    <xf numFmtId="169" fontId="28" fillId="2" borderId="1" xfId="0" applyNumberFormat="1" applyFont="1" applyFill="1" applyBorder="1" applyAlignment="1">
      <alignment horizontal="right" vertical="center"/>
    </xf>
    <xf numFmtId="0" fontId="66" fillId="2" borderId="1" xfId="0" applyFont="1" applyFill="1" applyBorder="1" applyAlignment="1">
      <alignment horizontal="center" vertical="center" wrapText="1"/>
    </xf>
    <xf numFmtId="1" fontId="66" fillId="2" borderId="1" xfId="0" applyNumberFormat="1" applyFont="1" applyFill="1" applyBorder="1" applyAlignment="1">
      <alignment horizontal="center" vertical="center" wrapText="1"/>
    </xf>
    <xf numFmtId="168" fontId="66" fillId="2" borderId="1" xfId="0" applyNumberFormat="1" applyFont="1" applyFill="1" applyBorder="1" applyAlignment="1">
      <alignment horizontal="center" vertical="center" wrapText="1"/>
    </xf>
    <xf numFmtId="4" fontId="66" fillId="2" borderId="1" xfId="0" applyNumberFormat="1" applyFont="1" applyFill="1" applyBorder="1" applyAlignment="1">
      <alignment horizontal="center" vertical="center" wrapText="1"/>
    </xf>
    <xf numFmtId="4" fontId="47" fillId="2" borderId="0" xfId="20" applyNumberFormat="1" applyFont="1" applyFill="1" applyAlignment="1">
      <alignment vertical="center" wrapText="1"/>
    </xf>
    <xf numFmtId="0" fontId="28" fillId="2" borderId="1" xfId="35" applyFont="1" applyFill="1" applyBorder="1" applyAlignment="1">
      <alignment horizontal="left" vertical="center" wrapText="1"/>
    </xf>
    <xf numFmtId="4" fontId="47" fillId="2" borderId="0" xfId="0" applyNumberFormat="1" applyFont="1" applyFill="1" applyAlignment="1">
      <alignment vertical="center" wrapText="1"/>
    </xf>
    <xf numFmtId="0" fontId="66" fillId="2" borderId="0" xfId="0" applyFont="1" applyFill="1" applyAlignment="1">
      <alignment horizontal="center" vertical="center" wrapText="1"/>
    </xf>
    <xf numFmtId="3" fontId="66" fillId="2" borderId="1" xfId="0" applyNumberFormat="1" applyFont="1" applyFill="1" applyBorder="1" applyAlignment="1">
      <alignment horizontal="center" vertical="center" wrapText="1"/>
    </xf>
    <xf numFmtId="169" fontId="66" fillId="2" borderId="1" xfId="0" applyNumberFormat="1" applyFont="1" applyFill="1" applyBorder="1" applyAlignment="1">
      <alignment horizontal="right" vertical="center" wrapText="1"/>
    </xf>
    <xf numFmtId="166" fontId="66" fillId="2" borderId="1" xfId="0" applyNumberFormat="1" applyFont="1" applyFill="1" applyBorder="1" applyAlignment="1">
      <alignment horizontal="right" vertical="center" wrapText="1"/>
    </xf>
    <xf numFmtId="4" fontId="66" fillId="2" borderId="1" xfId="0" applyNumberFormat="1" applyFont="1" applyFill="1" applyBorder="1" applyAlignment="1">
      <alignment horizontal="right" vertical="center" wrapText="1"/>
    </xf>
    <xf numFmtId="166" fontId="66" fillId="2" borderId="1" xfId="0" applyNumberFormat="1" applyFont="1" applyFill="1" applyBorder="1" applyAlignment="1">
      <alignment vertical="center" wrapText="1"/>
    </xf>
    <xf numFmtId="3" fontId="0" fillId="2" borderId="1" xfId="0" applyNumberFormat="1" applyFill="1" applyBorder="1" applyAlignment="1">
      <alignment horizontal="center" vertical="center" wrapText="1"/>
    </xf>
    <xf numFmtId="0" fontId="66" fillId="2" borderId="0" xfId="0" applyFont="1" applyFill="1" applyAlignment="1">
      <alignment vertical="center" wrapText="1"/>
    </xf>
    <xf numFmtId="4" fontId="63" fillId="2" borderId="1" xfId="0" applyNumberFormat="1" applyFont="1" applyFill="1" applyBorder="1" applyAlignment="1">
      <alignment horizontal="center" vertical="center" wrapText="1"/>
    </xf>
    <xf numFmtId="171" fontId="63" fillId="2" borderId="1" xfId="0" applyNumberFormat="1" applyFont="1" applyFill="1" applyBorder="1" applyAlignment="1">
      <alignment horizontal="center" vertical="center" wrapText="1"/>
    </xf>
    <xf numFmtId="0" fontId="70" fillId="2" borderId="0" xfId="0" applyFont="1" applyFill="1" applyBorder="1" applyAlignment="1">
      <alignment vertical="center"/>
    </xf>
    <xf numFmtId="169" fontId="70" fillId="2" borderId="0" xfId="0" applyNumberFormat="1" applyFont="1" applyFill="1" applyBorder="1" applyAlignment="1">
      <alignment vertical="center" wrapText="1"/>
    </xf>
    <xf numFmtId="0" fontId="29" fillId="2" borderId="0" xfId="0" applyFont="1" applyFill="1" applyBorder="1" applyAlignment="1">
      <alignment vertical="center" wrapText="1"/>
    </xf>
    <xf numFmtId="0" fontId="69" fillId="2" borderId="0" xfId="0" applyFont="1" applyFill="1" applyAlignment="1">
      <alignment horizontal="center" vertical="center" wrapText="1"/>
    </xf>
    <xf numFmtId="2" fontId="0" fillId="2" borderId="1" xfId="0" applyNumberFormat="1" applyFill="1" applyBorder="1" applyAlignment="1">
      <alignment horizontal="center" vertical="center" wrapText="1"/>
    </xf>
    <xf numFmtId="4" fontId="28" fillId="2" borderId="1" xfId="71" applyNumberFormat="1" applyFont="1" applyFill="1" applyBorder="1" applyAlignment="1">
      <alignment horizontal="right"/>
    </xf>
    <xf numFmtId="0" fontId="28" fillId="2" borderId="1" xfId="0" applyFont="1" applyFill="1" applyBorder="1" applyAlignment="1">
      <alignment vertical="center" wrapText="1"/>
    </xf>
    <xf numFmtId="2" fontId="66" fillId="2" borderId="1" xfId="0" applyNumberFormat="1" applyFont="1" applyFill="1" applyBorder="1" applyAlignment="1">
      <alignment horizontal="center" vertical="center" wrapText="1"/>
    </xf>
    <xf numFmtId="0" fontId="71" fillId="2" borderId="0" xfId="0" applyFont="1" applyFill="1" applyAlignment="1">
      <alignment vertical="center" wrapText="1"/>
    </xf>
    <xf numFmtId="2" fontId="28" fillId="2" borderId="1" xfId="20" applyNumberFormat="1" applyFont="1" applyFill="1" applyBorder="1" applyAlignment="1">
      <alignment horizontal="center"/>
    </xf>
    <xf numFmtId="2" fontId="70" fillId="2" borderId="1" xfId="0" applyNumberFormat="1" applyFont="1" applyFill="1" applyBorder="1" applyAlignment="1">
      <alignment horizontal="center" vertical="center" wrapText="1"/>
    </xf>
    <xf numFmtId="171" fontId="70" fillId="2" borderId="1" xfId="0" applyNumberFormat="1" applyFont="1" applyFill="1" applyBorder="1" applyAlignment="1">
      <alignment horizontal="center" vertical="center" wrapText="1"/>
    </xf>
    <xf numFmtId="0" fontId="70" fillId="2" borderId="3" xfId="0" applyFont="1" applyFill="1" applyBorder="1" applyAlignment="1">
      <alignment horizontal="center" vertical="center" wrapText="1"/>
    </xf>
    <xf numFmtId="0" fontId="70" fillId="2" borderId="2" xfId="0" applyFont="1" applyFill="1" applyBorder="1" applyAlignment="1">
      <alignment horizontal="center" vertical="center" wrapText="1"/>
    </xf>
    <xf numFmtId="2" fontId="70" fillId="2" borderId="2" xfId="0" applyNumberFormat="1" applyFont="1" applyFill="1" applyBorder="1" applyAlignment="1">
      <alignment horizontal="center" vertical="center" wrapText="1"/>
    </xf>
    <xf numFmtId="171" fontId="70" fillId="2" borderId="2" xfId="0" applyNumberFormat="1" applyFont="1" applyFill="1" applyBorder="1" applyAlignment="1">
      <alignment horizontal="center" vertical="center" wrapText="1"/>
    </xf>
    <xf numFmtId="172" fontId="47" fillId="2" borderId="0" xfId="0" applyNumberFormat="1" applyFont="1" applyFill="1" applyBorder="1" applyAlignment="1">
      <alignment horizontal="right" vertical="center" wrapText="1"/>
    </xf>
    <xf numFmtId="0" fontId="28" fillId="2" borderId="1" xfId="0" applyFont="1" applyFill="1" applyBorder="1" applyAlignment="1">
      <alignment horizontal="center" vertical="center" wrapText="1"/>
    </xf>
    <xf numFmtId="0" fontId="62" fillId="2" borderId="1" xfId="39" applyFont="1" applyFill="1" applyBorder="1" applyAlignment="1">
      <alignment horizontal="left" vertical="center" wrapText="1"/>
    </xf>
    <xf numFmtId="0" fontId="0" fillId="2" borderId="1" xfId="0" applyFill="1" applyBorder="1" applyAlignment="1">
      <alignment horizontal="center" vertical="center" wrapText="1"/>
    </xf>
    <xf numFmtId="0" fontId="62" fillId="0" borderId="0" xfId="39" applyFont="1" applyAlignment="1">
      <alignment horizontal="center"/>
    </xf>
    <xf numFmtId="0" fontId="34" fillId="2" borderId="1"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46" fillId="2" borderId="1" xfId="0" applyFont="1" applyFill="1" applyBorder="1" applyAlignment="1">
      <alignment horizontal="center" vertical="center" wrapText="1"/>
    </xf>
    <xf numFmtId="0" fontId="34" fillId="2" borderId="1" xfId="0" applyFont="1" applyFill="1" applyBorder="1" applyAlignment="1">
      <alignment horizontal="center" vertical="center" textRotation="90" wrapText="1"/>
    </xf>
    <xf numFmtId="0" fontId="34" fillId="2" borderId="1" xfId="35" applyFont="1" applyFill="1" applyBorder="1" applyAlignment="1">
      <alignment horizontal="center" vertical="center" textRotation="90" wrapText="1"/>
    </xf>
    <xf numFmtId="0" fontId="42" fillId="2" borderId="0" xfId="0" applyFont="1" applyFill="1" applyAlignment="1">
      <alignment horizontal="center" vertical="center" wrapText="1"/>
    </xf>
    <xf numFmtId="0" fontId="44" fillId="2" borderId="0" xfId="0" applyFont="1" applyFill="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textRotation="90" wrapText="1"/>
    </xf>
    <xf numFmtId="0" fontId="66" fillId="2" borderId="1" xfId="35" applyFont="1" applyFill="1" applyBorder="1" applyAlignment="1">
      <alignment horizontal="center" vertical="center" textRotation="90" wrapText="1"/>
    </xf>
    <xf numFmtId="0" fontId="26" fillId="2" borderId="0" xfId="0" applyFont="1" applyFill="1" applyAlignment="1">
      <alignment horizontal="center" vertical="center" wrapText="1"/>
    </xf>
    <xf numFmtId="0" fontId="28" fillId="2" borderId="1" xfId="35" applyFont="1" applyFill="1" applyBorder="1" applyAlignment="1">
      <alignment horizontal="center" vertical="center" textRotation="90" wrapText="1"/>
    </xf>
    <xf numFmtId="0" fontId="63" fillId="4" borderId="1" xfId="39" applyFont="1" applyFill="1" applyBorder="1" applyAlignment="1">
      <alignment horizontal="center" vertical="center"/>
    </xf>
    <xf numFmtId="171" fontId="62" fillId="4" borderId="1" xfId="39" applyNumberFormat="1" applyFont="1" applyFill="1" applyBorder="1" applyAlignment="1">
      <alignment horizontal="center" vertical="center"/>
    </xf>
    <xf numFmtId="0" fontId="62" fillId="0" borderId="0" xfId="39" applyFont="1" applyAlignment="1">
      <alignment horizontal="center"/>
    </xf>
    <xf numFmtId="0" fontId="63" fillId="0" borderId="1" xfId="39" applyFont="1" applyBorder="1" applyAlignment="1">
      <alignment horizontal="center" vertical="center"/>
    </xf>
    <xf numFmtId="0" fontId="63" fillId="0" borderId="1" xfId="39" applyFont="1" applyFill="1" applyBorder="1" applyAlignment="1">
      <alignment horizontal="center" vertical="center"/>
    </xf>
    <xf numFmtId="0" fontId="63" fillId="5" borderId="1" xfId="39" applyFont="1" applyFill="1" applyBorder="1" applyAlignment="1">
      <alignment horizontal="center" vertical="center"/>
    </xf>
    <xf numFmtId="171" fontId="62" fillId="5" borderId="1" xfId="39" applyNumberFormat="1" applyFont="1" applyFill="1" applyBorder="1" applyAlignment="1">
      <alignment horizontal="center" vertical="center"/>
    </xf>
    <xf numFmtId="0" fontId="61" fillId="2" borderId="0" xfId="5" applyFill="1"/>
    <xf numFmtId="0" fontId="72" fillId="2" borderId="0" xfId="5" applyFont="1" applyFill="1"/>
    <xf numFmtId="0" fontId="62" fillId="0" borderId="0" xfId="5" applyFont="1"/>
    <xf numFmtId="0" fontId="63" fillId="0" borderId="1" xfId="5" applyFont="1" applyBorder="1" applyAlignment="1">
      <alignment vertical="center" wrapText="1"/>
    </xf>
    <xf numFmtId="0" fontId="63" fillId="0" borderId="0" xfId="5" applyFont="1"/>
    <xf numFmtId="0" fontId="62" fillId="2" borderId="0" xfId="5" applyFont="1" applyFill="1"/>
    <xf numFmtId="0" fontId="62" fillId="2" borderId="1" xfId="5" applyFont="1" applyFill="1" applyBorder="1" applyAlignment="1">
      <alignment vertical="center" wrapText="1"/>
    </xf>
    <xf numFmtId="4" fontId="62" fillId="2" borderId="1" xfId="5" applyNumberFormat="1" applyFont="1" applyFill="1" applyBorder="1" applyAlignment="1">
      <alignment horizontal="center" vertical="center" wrapText="1"/>
    </xf>
    <xf numFmtId="0" fontId="63" fillId="2" borderId="1" xfId="5" applyFont="1" applyFill="1" applyBorder="1" applyAlignment="1">
      <alignment vertical="center" wrapText="1"/>
    </xf>
    <xf numFmtId="0" fontId="63" fillId="2" borderId="1" xfId="5" applyFont="1" applyFill="1" applyBorder="1" applyAlignment="1">
      <alignment horizontal="center" vertical="center" wrapText="1"/>
    </xf>
    <xf numFmtId="0" fontId="63" fillId="2" borderId="0" xfId="5" applyFont="1" applyFill="1"/>
    <xf numFmtId="2" fontId="62" fillId="2" borderId="0" xfId="5" applyNumberFormat="1" applyFont="1" applyFill="1"/>
    <xf numFmtId="0" fontId="62" fillId="6" borderId="0" xfId="5" applyFont="1" applyFill="1"/>
    <xf numFmtId="0" fontId="61" fillId="2" borderId="0" xfId="5" applyFill="1" applyAlignment="1">
      <alignment horizontal="center" vertical="center"/>
    </xf>
    <xf numFmtId="0" fontId="62" fillId="2" borderId="1" xfId="5" applyFont="1" applyFill="1" applyBorder="1" applyAlignment="1">
      <alignment horizontal="center" vertical="center" wrapText="1"/>
    </xf>
    <xf numFmtId="0" fontId="62" fillId="0" borderId="1" xfId="5" applyFont="1" applyBorder="1"/>
    <xf numFmtId="0" fontId="62" fillId="2" borderId="10" xfId="5" applyFont="1" applyFill="1" applyBorder="1" applyAlignment="1">
      <alignment horizontal="center" vertical="center" wrapText="1"/>
    </xf>
    <xf numFmtId="0" fontId="63" fillId="2" borderId="7" xfId="5" applyFont="1" applyFill="1" applyBorder="1" applyAlignment="1">
      <alignment horizontal="center" vertical="center" wrapText="1"/>
    </xf>
    <xf numFmtId="0" fontId="63" fillId="2" borderId="1" xfId="5" applyFont="1" applyFill="1" applyBorder="1" applyAlignment="1">
      <alignment horizontal="center" vertical="center"/>
    </xf>
    <xf numFmtId="14" fontId="62" fillId="2" borderId="0" xfId="5" applyNumberFormat="1" applyFont="1" applyFill="1"/>
    <xf numFmtId="0" fontId="62" fillId="0" borderId="0" xfId="0" applyFont="1"/>
    <xf numFmtId="0" fontId="62" fillId="0" borderId="0" xfId="0" applyFont="1" applyFill="1"/>
    <xf numFmtId="0" fontId="62" fillId="2" borderId="1" xfId="5" applyFont="1" applyFill="1" applyBorder="1" applyAlignment="1">
      <alignment horizontal="center" vertical="center" wrapText="1"/>
    </xf>
    <xf numFmtId="0" fontId="50" fillId="2" borderId="0" xfId="5" applyFont="1" applyFill="1" applyBorder="1" applyAlignment="1">
      <alignment vertical="center" wrapText="1"/>
    </xf>
    <xf numFmtId="0" fontId="50" fillId="2" borderId="0" xfId="5" applyFont="1" applyFill="1" applyBorder="1"/>
    <xf numFmtId="0" fontId="62" fillId="2" borderId="0" xfId="5" applyFont="1" applyFill="1" applyBorder="1" applyAlignment="1">
      <alignment horizontal="center" vertical="center" wrapText="1"/>
    </xf>
    <xf numFmtId="0" fontId="62" fillId="2" borderId="0" xfId="5" applyFont="1" applyFill="1" applyBorder="1"/>
    <xf numFmtId="0" fontId="62" fillId="2" borderId="0" xfId="5" applyFont="1" applyFill="1" applyBorder="1" applyAlignment="1">
      <alignment horizontal="center" vertical="center"/>
    </xf>
    <xf numFmtId="0" fontId="62" fillId="2" borderId="0" xfId="5" applyFont="1" applyFill="1" applyBorder="1" applyAlignment="1">
      <alignment vertical="center" wrapText="1"/>
    </xf>
    <xf numFmtId="0" fontId="68" fillId="2" borderId="0" xfId="5" applyFont="1" applyFill="1" applyBorder="1"/>
    <xf numFmtId="0" fontId="68" fillId="2" borderId="0" xfId="5" applyFont="1" applyFill="1" applyBorder="1" applyAlignment="1">
      <alignment vertical="center" wrapText="1"/>
    </xf>
    <xf numFmtId="0" fontId="63" fillId="2" borderId="0" xfId="5" applyFont="1" applyFill="1" applyBorder="1"/>
    <xf numFmtId="4" fontId="63" fillId="2" borderId="0" xfId="5" applyNumberFormat="1" applyFont="1" applyFill="1" applyBorder="1" applyAlignment="1">
      <alignment horizontal="center" vertical="center" wrapText="1"/>
    </xf>
    <xf numFmtId="0" fontId="81" fillId="0" borderId="1" xfId="0" applyFont="1" applyBorder="1" applyAlignment="1">
      <alignment horizontal="center" vertical="center" wrapText="1"/>
    </xf>
    <xf numFmtId="0" fontId="81" fillId="0" borderId="1" xfId="0" applyFont="1" applyBorder="1" applyAlignment="1">
      <alignment vertical="center" wrapText="1"/>
    </xf>
    <xf numFmtId="49" fontId="62" fillId="2" borderId="0" xfId="5" applyNumberFormat="1" applyFont="1" applyFill="1"/>
    <xf numFmtId="49" fontId="81" fillId="0" borderId="1" xfId="0" applyNumberFormat="1" applyFont="1" applyBorder="1" applyAlignment="1">
      <alignment horizontal="center" vertical="center" wrapText="1"/>
    </xf>
    <xf numFmtId="49" fontId="81" fillId="0" borderId="1" xfId="0" applyNumberFormat="1" applyFont="1" applyBorder="1" applyAlignment="1">
      <alignment vertical="center" wrapText="1"/>
    </xf>
    <xf numFmtId="0" fontId="76" fillId="2" borderId="0" xfId="5" applyFont="1" applyFill="1" applyAlignment="1">
      <alignment vertical="center" wrapText="1"/>
    </xf>
    <xf numFmtId="49" fontId="63" fillId="0" borderId="1" xfId="5" applyNumberFormat="1" applyFont="1" applyBorder="1" applyAlignment="1">
      <alignment horizontal="center" vertical="center" wrapText="1"/>
    </xf>
    <xf numFmtId="49" fontId="62" fillId="0" borderId="0" xfId="5" applyNumberFormat="1" applyFont="1"/>
    <xf numFmtId="49" fontId="62" fillId="2" borderId="1" xfId="5" applyNumberFormat="1" applyFont="1" applyFill="1" applyBorder="1" applyAlignment="1">
      <alignment horizontal="center" vertical="center" wrapText="1"/>
    </xf>
    <xf numFmtId="49" fontId="63" fillId="2" borderId="1" xfId="5" applyNumberFormat="1" applyFont="1" applyFill="1" applyBorder="1" applyAlignment="1">
      <alignment horizontal="center" vertical="center" wrapText="1"/>
    </xf>
    <xf numFmtId="49" fontId="62" fillId="2" borderId="1" xfId="5" applyNumberFormat="1" applyFont="1" applyFill="1" applyBorder="1" applyAlignment="1">
      <alignment horizontal="center" vertical="center" wrapText="1"/>
    </xf>
    <xf numFmtId="0" fontId="70" fillId="0" borderId="0" xfId="0" applyFont="1" applyFill="1"/>
    <xf numFmtId="0" fontId="62" fillId="0" borderId="0" xfId="5" applyFont="1" applyFill="1"/>
    <xf numFmtId="0" fontId="62" fillId="0" borderId="1" xfId="5" applyFont="1" applyFill="1" applyBorder="1" applyAlignment="1">
      <alignment vertical="center" wrapText="1"/>
    </xf>
    <xf numFmtId="4" fontId="62" fillId="2" borderId="1" xfId="5" applyNumberFormat="1" applyFont="1" applyFill="1" applyBorder="1" applyAlignment="1">
      <alignment horizontal="center" vertical="center"/>
    </xf>
    <xf numFmtId="0" fontId="85" fillId="0" borderId="0" xfId="164"/>
    <xf numFmtId="0" fontId="50" fillId="0" borderId="0" xfId="5" applyFont="1" applyFill="1"/>
    <xf numFmtId="49" fontId="50" fillId="2" borderId="1" xfId="5" applyNumberFormat="1" applyFont="1" applyFill="1" applyBorder="1" applyAlignment="1">
      <alignment horizontal="center" vertical="center" wrapText="1"/>
    </xf>
    <xf numFmtId="4" fontId="50" fillId="2" borderId="1" xfId="5" applyNumberFormat="1" applyFont="1" applyFill="1" applyBorder="1" applyAlignment="1">
      <alignment horizontal="center" vertical="center" wrapText="1"/>
    </xf>
    <xf numFmtId="0" fontId="63" fillId="6" borderId="1" xfId="5" applyFont="1" applyFill="1" applyBorder="1" applyAlignment="1">
      <alignment vertical="center" wrapText="1"/>
    </xf>
    <xf numFmtId="49" fontId="63" fillId="6" borderId="1" xfId="5" applyNumberFormat="1" applyFont="1" applyFill="1" applyBorder="1" applyAlignment="1">
      <alignment horizontal="center" vertical="center" wrapText="1"/>
    </xf>
    <xf numFmtId="4" fontId="63" fillId="6" borderId="1" xfId="5" applyNumberFormat="1" applyFont="1" applyFill="1" applyBorder="1" applyAlignment="1">
      <alignment horizontal="center" vertical="center" wrapText="1"/>
    </xf>
    <xf numFmtId="4" fontId="49" fillId="8" borderId="1" xfId="5" applyNumberFormat="1" applyFont="1" applyFill="1" applyBorder="1" applyAlignment="1">
      <alignment horizontal="center" vertical="center" wrapText="1"/>
    </xf>
    <xf numFmtId="4" fontId="62" fillId="2" borderId="1" xfId="5" applyNumberFormat="1" applyFont="1" applyFill="1" applyBorder="1" applyAlignment="1">
      <alignment horizontal="center" vertical="center" wrapText="1"/>
    </xf>
    <xf numFmtId="4" fontId="63" fillId="0" borderId="1" xfId="5" applyNumberFormat="1" applyFont="1" applyBorder="1" applyAlignment="1">
      <alignment horizontal="center" vertical="center" wrapText="1"/>
    </xf>
    <xf numFmtId="0" fontId="86" fillId="2" borderId="0" xfId="164" applyFont="1" applyFill="1"/>
    <xf numFmtId="0" fontId="51" fillId="2" borderId="0" xfId="292" applyFont="1" applyFill="1" applyAlignment="1">
      <alignment vertical="center"/>
    </xf>
    <xf numFmtId="0" fontId="85" fillId="0" borderId="0" xfId="164" applyFont="1"/>
    <xf numFmtId="4" fontId="85" fillId="2" borderId="0" xfId="164" applyNumberFormat="1" applyFont="1" applyFill="1"/>
    <xf numFmtId="49" fontId="54" fillId="0" borderId="3" xfId="164" applyNumberFormat="1" applyFont="1" applyFill="1" applyBorder="1" applyAlignment="1">
      <alignment horizontal="center" vertical="top"/>
    </xf>
    <xf numFmtId="49" fontId="54" fillId="2" borderId="5" xfId="164" applyNumberFormat="1" applyFont="1" applyFill="1" applyBorder="1" applyAlignment="1">
      <alignment horizontal="center"/>
    </xf>
    <xf numFmtId="49" fontId="54" fillId="2" borderId="13" xfId="164" applyNumberFormat="1" applyFont="1" applyFill="1" applyBorder="1" applyAlignment="1">
      <alignment horizontal="center"/>
    </xf>
    <xf numFmtId="4" fontId="54" fillId="2" borderId="23" xfId="164" applyNumberFormat="1" applyFont="1" applyFill="1" applyBorder="1" applyAlignment="1">
      <alignment horizontal="right"/>
    </xf>
    <xf numFmtId="49" fontId="54" fillId="0" borderId="6" xfId="164" applyNumberFormat="1" applyFont="1" applyFill="1" applyBorder="1" applyAlignment="1">
      <alignment horizontal="center"/>
    </xf>
    <xf numFmtId="49" fontId="54" fillId="0" borderId="7" xfId="164" applyNumberFormat="1" applyFont="1" applyFill="1" applyBorder="1" applyAlignment="1">
      <alignment horizontal="center"/>
    </xf>
    <xf numFmtId="4" fontId="54" fillId="0" borderId="24" xfId="164" applyNumberFormat="1" applyFont="1" applyFill="1" applyBorder="1" applyAlignment="1">
      <alignment horizontal="right"/>
    </xf>
    <xf numFmtId="49" fontId="38" fillId="9" borderId="6" xfId="164" applyNumberFormat="1" applyFont="1" applyFill="1" applyBorder="1" applyAlignment="1">
      <alignment horizontal="center"/>
    </xf>
    <xf numFmtId="49" fontId="38" fillId="9" borderId="7" xfId="164" applyNumberFormat="1" applyFont="1" applyFill="1" applyBorder="1" applyAlignment="1">
      <alignment horizontal="center"/>
    </xf>
    <xf numFmtId="49" fontId="54" fillId="9" borderId="7" xfId="164" applyNumberFormat="1" applyFont="1" applyFill="1" applyBorder="1" applyAlignment="1">
      <alignment horizontal="center" wrapText="1"/>
    </xf>
    <xf numFmtId="4" fontId="54" fillId="9" borderId="24" xfId="164" applyNumberFormat="1" applyFont="1" applyFill="1" applyBorder="1" applyAlignment="1">
      <alignment horizontal="right"/>
    </xf>
    <xf numFmtId="49" fontId="54" fillId="8" borderId="6" xfId="164" applyNumberFormat="1" applyFont="1" applyFill="1" applyBorder="1" applyAlignment="1">
      <alignment horizontal="center"/>
    </xf>
    <xf numFmtId="49" fontId="54" fillId="8" borderId="7" xfId="164" applyNumberFormat="1" applyFont="1" applyFill="1" applyBorder="1" applyAlignment="1">
      <alignment horizontal="center"/>
    </xf>
    <xf numFmtId="49" fontId="54" fillId="8" borderId="7" xfId="164" applyNumberFormat="1" applyFont="1" applyFill="1" applyBorder="1" applyAlignment="1">
      <alignment horizontal="center" wrapText="1"/>
    </xf>
    <xf numFmtId="0" fontId="85" fillId="2" borderId="0" xfId="164" applyFont="1" applyFill="1"/>
    <xf numFmtId="49" fontId="54" fillId="0" borderId="18" xfId="164" applyNumberFormat="1" applyFont="1" applyFill="1" applyBorder="1" applyAlignment="1">
      <alignment horizontal="center"/>
    </xf>
    <xf numFmtId="49" fontId="54" fillId="0" borderId="3" xfId="164" applyNumberFormat="1" applyFont="1" applyFill="1" applyBorder="1" applyAlignment="1">
      <alignment horizontal="center"/>
    </xf>
    <xf numFmtId="49" fontId="54" fillId="0" borderId="3" xfId="164" applyNumberFormat="1" applyFont="1" applyFill="1" applyBorder="1" applyAlignment="1">
      <alignment horizontal="center" wrapText="1"/>
    </xf>
    <xf numFmtId="4" fontId="54" fillId="0" borderId="25" xfId="164" applyNumberFormat="1" applyFont="1" applyFill="1" applyBorder="1" applyAlignment="1">
      <alignment horizontal="right"/>
    </xf>
    <xf numFmtId="0" fontId="50" fillId="2" borderId="0" xfId="292" applyFont="1" applyFill="1" applyBorder="1" applyAlignment="1">
      <alignment vertical="center"/>
    </xf>
    <xf numFmtId="0" fontId="50" fillId="2" borderId="0" xfId="292" applyFont="1" applyFill="1" applyBorder="1" applyAlignment="1">
      <alignment horizontal="center" vertical="center"/>
    </xf>
    <xf numFmtId="0" fontId="85" fillId="0" borderId="0" xfId="164" applyFont="1" applyBorder="1"/>
    <xf numFmtId="49" fontId="54" fillId="0" borderId="19" xfId="164" applyNumberFormat="1" applyFont="1" applyFill="1" applyBorder="1" applyAlignment="1">
      <alignment horizontal="center"/>
    </xf>
    <xf numFmtId="49" fontId="54" fillId="0" borderId="15" xfId="164" applyNumberFormat="1" applyFont="1" applyFill="1" applyBorder="1" applyAlignment="1">
      <alignment horizontal="center"/>
    </xf>
    <xf numFmtId="49" fontId="54" fillId="0" borderId="15" xfId="164" applyNumberFormat="1" applyFont="1" applyFill="1" applyBorder="1" applyAlignment="1">
      <alignment horizontal="center" wrapText="1"/>
    </xf>
    <xf numFmtId="4" fontId="54" fillId="0" borderId="26" xfId="164" applyNumberFormat="1" applyFont="1" applyFill="1" applyBorder="1" applyAlignment="1">
      <alignment horizontal="right"/>
    </xf>
    <xf numFmtId="0" fontId="50" fillId="2" borderId="0" xfId="292" applyFont="1" applyFill="1" applyBorder="1" applyAlignment="1">
      <alignment horizontal="right" vertical="center"/>
    </xf>
    <xf numFmtId="49" fontId="54" fillId="8" borderId="19" xfId="164" applyNumberFormat="1" applyFont="1" applyFill="1" applyBorder="1" applyAlignment="1">
      <alignment horizontal="center"/>
    </xf>
    <xf numFmtId="49" fontId="54" fillId="8" borderId="15" xfId="164" applyNumberFormat="1" applyFont="1" applyFill="1" applyBorder="1" applyAlignment="1">
      <alignment horizontal="center"/>
    </xf>
    <xf numFmtId="49" fontId="54" fillId="8" borderId="15" xfId="164" applyNumberFormat="1" applyFont="1" applyFill="1" applyBorder="1" applyAlignment="1">
      <alignment horizontal="center" wrapText="1"/>
    </xf>
    <xf numFmtId="4" fontId="54" fillId="8" borderId="26" xfId="164" applyNumberFormat="1" applyFont="1" applyFill="1" applyBorder="1" applyAlignment="1">
      <alignment horizontal="right"/>
    </xf>
    <xf numFmtId="49" fontId="54" fillId="2" borderId="19" xfId="164" applyNumberFormat="1" applyFont="1" applyFill="1" applyBorder="1" applyAlignment="1">
      <alignment horizontal="center"/>
    </xf>
    <xf numFmtId="49" fontId="54" fillId="2" borderId="15" xfId="164" applyNumberFormat="1" applyFont="1" applyFill="1" applyBorder="1" applyAlignment="1">
      <alignment horizontal="center"/>
    </xf>
    <xf numFmtId="49" fontId="54" fillId="2" borderId="15" xfId="164" applyNumberFormat="1" applyFont="1" applyFill="1" applyBorder="1" applyAlignment="1">
      <alignment horizontal="center" wrapText="1"/>
    </xf>
    <xf numFmtId="4" fontId="54" fillId="2" borderId="26" xfId="164" applyNumberFormat="1" applyFont="1" applyFill="1" applyBorder="1" applyAlignment="1">
      <alignment horizontal="right"/>
    </xf>
    <xf numFmtId="165" fontId="50" fillId="2" borderId="0" xfId="292" applyNumberFormat="1" applyFont="1" applyFill="1" applyBorder="1" applyAlignment="1">
      <alignment vertical="center"/>
    </xf>
    <xf numFmtId="0" fontId="85" fillId="2" borderId="0" xfId="164" applyFont="1" applyFill="1" applyBorder="1"/>
    <xf numFmtId="49" fontId="54" fillId="0" borderId="7" xfId="164" applyNumberFormat="1" applyFont="1" applyFill="1" applyBorder="1" applyAlignment="1">
      <alignment horizontal="center" wrapText="1"/>
    </xf>
    <xf numFmtId="165" fontId="50" fillId="0" borderId="0" xfId="292" applyNumberFormat="1" applyFont="1" applyFill="1" applyBorder="1" applyAlignment="1">
      <alignment vertical="center"/>
    </xf>
    <xf numFmtId="0" fontId="50" fillId="0" borderId="0" xfId="292" applyFont="1" applyFill="1" applyBorder="1" applyAlignment="1">
      <alignment horizontal="right" vertical="center"/>
    </xf>
    <xf numFmtId="0" fontId="50" fillId="0" borderId="0" xfId="292" applyFont="1" applyFill="1" applyBorder="1" applyAlignment="1">
      <alignment horizontal="center" vertical="center"/>
    </xf>
    <xf numFmtId="49" fontId="54" fillId="2" borderId="6" xfId="164" applyNumberFormat="1" applyFont="1" applyFill="1" applyBorder="1" applyAlignment="1">
      <alignment horizontal="center"/>
    </xf>
    <xf numFmtId="49" fontId="54" fillId="2" borderId="7" xfId="164" applyNumberFormat="1" applyFont="1" applyFill="1" applyBorder="1" applyAlignment="1">
      <alignment horizontal="center"/>
    </xf>
    <xf numFmtId="49" fontId="54" fillId="2" borderId="7" xfId="164" applyNumberFormat="1" applyFont="1" applyFill="1" applyBorder="1" applyAlignment="1">
      <alignment horizontal="center" wrapText="1"/>
    </xf>
    <xf numFmtId="4" fontId="54" fillId="2" borderId="24" xfId="164" applyNumberFormat="1" applyFont="1" applyFill="1" applyBorder="1" applyAlignment="1">
      <alignment horizontal="right"/>
    </xf>
    <xf numFmtId="4" fontId="54" fillId="8" borderId="24" xfId="164" applyNumberFormat="1" applyFont="1" applyFill="1" applyBorder="1" applyAlignment="1">
      <alignment horizontal="right"/>
    </xf>
    <xf numFmtId="49" fontId="50" fillId="2" borderId="7" xfId="164" applyNumberFormat="1" applyFont="1" applyFill="1" applyBorder="1" applyAlignment="1">
      <alignment horizontal="center" wrapText="1"/>
    </xf>
    <xf numFmtId="4" fontId="50" fillId="2" borderId="7" xfId="164" applyNumberFormat="1" applyFont="1" applyFill="1" applyBorder="1" applyAlignment="1">
      <alignment horizontal="right"/>
    </xf>
    <xf numFmtId="4" fontId="50" fillId="2" borderId="1" xfId="164" applyNumberFormat="1" applyFont="1" applyFill="1" applyBorder="1" applyAlignment="1">
      <alignment horizontal="right"/>
    </xf>
    <xf numFmtId="4" fontId="50" fillId="2" borderId="24" xfId="164" applyNumberFormat="1" applyFont="1" applyFill="1" applyBorder="1" applyAlignment="1">
      <alignment horizontal="right"/>
    </xf>
    <xf numFmtId="49" fontId="54" fillId="0" borderId="6" xfId="0" applyNumberFormat="1" applyFont="1" applyFill="1" applyBorder="1" applyAlignment="1">
      <alignment horizontal="center"/>
    </xf>
    <xf numFmtId="49" fontId="54" fillId="0" borderId="7" xfId="0" applyNumberFormat="1" applyFont="1" applyFill="1" applyBorder="1" applyAlignment="1">
      <alignment horizontal="center"/>
    </xf>
    <xf numFmtId="49" fontId="54" fillId="0" borderId="7" xfId="0" applyNumberFormat="1" applyFont="1" applyFill="1" applyBorder="1" applyAlignment="1">
      <alignment horizontal="center" wrapText="1"/>
    </xf>
    <xf numFmtId="49" fontId="54" fillId="0" borderId="6" xfId="164" applyNumberFormat="1" applyFont="1" applyFill="1" applyBorder="1" applyAlignment="1">
      <alignment horizontal="center" wrapText="1"/>
    </xf>
    <xf numFmtId="49" fontId="54" fillId="6" borderId="6" xfId="164" applyNumberFormat="1" applyFont="1" applyFill="1" applyBorder="1" applyAlignment="1">
      <alignment horizontal="center"/>
    </xf>
    <xf numFmtId="49" fontId="54" fillId="6" borderId="7" xfId="164" applyNumberFormat="1" applyFont="1" applyFill="1" applyBorder="1" applyAlignment="1">
      <alignment horizontal="center"/>
    </xf>
    <xf numFmtId="49" fontId="54" fillId="6" borderId="7" xfId="164" applyNumberFormat="1" applyFont="1" applyFill="1" applyBorder="1" applyAlignment="1">
      <alignment horizontal="center" wrapText="1"/>
    </xf>
    <xf numFmtId="4" fontId="54" fillId="6" borderId="24" xfId="164" applyNumberFormat="1" applyFont="1" applyFill="1" applyBorder="1" applyAlignment="1">
      <alignment horizontal="right"/>
    </xf>
    <xf numFmtId="49" fontId="54" fillId="0" borderId="20" xfId="164" applyNumberFormat="1" applyFont="1" applyFill="1" applyBorder="1" applyAlignment="1">
      <alignment horizontal="center"/>
    </xf>
    <xf numFmtId="49" fontId="54" fillId="0" borderId="17" xfId="164" applyNumberFormat="1" applyFont="1" applyFill="1" applyBorder="1" applyAlignment="1">
      <alignment horizontal="center"/>
    </xf>
    <xf numFmtId="49" fontId="54" fillId="0" borderId="17" xfId="164" applyNumberFormat="1" applyFont="1" applyFill="1" applyBorder="1" applyAlignment="1">
      <alignment horizontal="center" wrapText="1"/>
    </xf>
    <xf numFmtId="4" fontId="54" fillId="0" borderId="27" xfId="164" applyNumberFormat="1" applyFont="1" applyFill="1" applyBorder="1" applyAlignment="1">
      <alignment horizontal="right"/>
    </xf>
    <xf numFmtId="0" fontId="85" fillId="2" borderId="0" xfId="164" applyFont="1" applyFill="1" applyAlignment="1">
      <alignment horizontal="left"/>
    </xf>
    <xf numFmtId="49" fontId="54" fillId="0" borderId="5" xfId="164" applyNumberFormat="1" applyFont="1" applyFill="1" applyBorder="1" applyAlignment="1">
      <alignment horizontal="center"/>
    </xf>
    <xf numFmtId="49" fontId="54" fillId="0" borderId="13" xfId="164" applyNumberFormat="1" applyFont="1" applyFill="1" applyBorder="1" applyAlignment="1">
      <alignment horizontal="center"/>
    </xf>
    <xf numFmtId="49" fontId="54" fillId="0" borderId="13" xfId="164" applyNumberFormat="1" applyFont="1" applyFill="1" applyBorder="1" applyAlignment="1">
      <alignment horizontal="center" wrapText="1"/>
    </xf>
    <xf numFmtId="4" fontId="54" fillId="0" borderId="23" xfId="164" applyNumberFormat="1" applyFont="1" applyFill="1" applyBorder="1" applyAlignment="1">
      <alignment horizontal="right"/>
    </xf>
    <xf numFmtId="49" fontId="38" fillId="8" borderId="6" xfId="164" applyNumberFormat="1" applyFont="1" applyFill="1" applyBorder="1" applyAlignment="1">
      <alignment horizontal="center"/>
    </xf>
    <xf numFmtId="49" fontId="38" fillId="8" borderId="7" xfId="164" applyNumberFormat="1" applyFont="1" applyFill="1" applyBorder="1" applyAlignment="1">
      <alignment horizontal="center"/>
    </xf>
    <xf numFmtId="49" fontId="54" fillId="0" borderId="21" xfId="164" applyNumberFormat="1" applyFont="1" applyFill="1" applyBorder="1" applyAlignment="1">
      <alignment horizontal="center" wrapText="1"/>
    </xf>
    <xf numFmtId="49" fontId="54" fillId="0" borderId="22" xfId="164" applyNumberFormat="1" applyFont="1" applyFill="1" applyBorder="1" applyAlignment="1">
      <alignment horizontal="center" wrapText="1"/>
    </xf>
    <xf numFmtId="0" fontId="50" fillId="2" borderId="0" xfId="292" applyFont="1" applyFill="1" applyAlignment="1">
      <alignment vertical="center"/>
    </xf>
    <xf numFmtId="0" fontId="50" fillId="2" borderId="0" xfId="292" applyFont="1" applyFill="1" applyAlignment="1">
      <alignment horizontal="center" vertical="center"/>
    </xf>
    <xf numFmtId="0" fontId="50" fillId="2" borderId="0" xfId="292" applyFont="1" applyFill="1" applyAlignment="1">
      <alignment horizontal="right" vertical="center"/>
    </xf>
    <xf numFmtId="0" fontId="50" fillId="2" borderId="0" xfId="292" applyFont="1" applyFill="1" applyBorder="1" applyAlignment="1">
      <alignment horizontal="left" vertical="center"/>
    </xf>
    <xf numFmtId="165" fontId="50" fillId="2" borderId="0" xfId="292" applyNumberFormat="1" applyFont="1" applyFill="1" applyAlignment="1">
      <alignment vertical="center"/>
    </xf>
    <xf numFmtId="165" fontId="50" fillId="0" borderId="0" xfId="292" applyNumberFormat="1" applyFont="1" applyFill="1" applyAlignment="1">
      <alignment vertical="center"/>
    </xf>
    <xf numFmtId="0" fontId="50" fillId="0" borderId="0" xfId="292" applyFont="1" applyFill="1" applyAlignment="1">
      <alignment horizontal="right" vertical="center"/>
    </xf>
    <xf numFmtId="0" fontId="50" fillId="2" borderId="10" xfId="292" applyFont="1" applyFill="1" applyBorder="1" applyAlignment="1">
      <alignment horizontal="center" vertical="center"/>
    </xf>
    <xf numFmtId="0" fontId="50" fillId="2" borderId="28" xfId="292" applyFont="1" applyFill="1" applyBorder="1" applyAlignment="1">
      <alignment vertical="center"/>
    </xf>
    <xf numFmtId="0" fontId="50" fillId="2" borderId="1" xfId="292" applyFont="1" applyFill="1" applyBorder="1" applyAlignment="1">
      <alignment vertical="center"/>
    </xf>
    <xf numFmtId="0" fontId="50" fillId="0" borderId="0" xfId="292" applyFont="1" applyFill="1" applyAlignment="1">
      <alignment vertical="center"/>
    </xf>
    <xf numFmtId="0" fontId="50" fillId="0" borderId="0" xfId="292" applyFont="1" applyFill="1" applyAlignment="1">
      <alignment horizontal="center" vertical="center"/>
    </xf>
    <xf numFmtId="0" fontId="50" fillId="0" borderId="1" xfId="292" applyFont="1" applyFill="1" applyBorder="1" applyAlignment="1">
      <alignment horizontal="center" vertical="center"/>
    </xf>
    <xf numFmtId="0" fontId="51" fillId="2" borderId="0" xfId="292" applyFont="1" applyFill="1" applyAlignment="1">
      <alignment horizontal="left" vertical="center"/>
    </xf>
    <xf numFmtId="0" fontId="51" fillId="2" borderId="4" xfId="292" applyFont="1" applyFill="1" applyBorder="1" applyAlignment="1">
      <alignment vertical="center"/>
    </xf>
    <xf numFmtId="0" fontId="51" fillId="2" borderId="2" xfId="292" applyFont="1" applyFill="1" applyBorder="1" applyAlignment="1">
      <alignment vertical="center"/>
    </xf>
    <xf numFmtId="0" fontId="51" fillId="2" borderId="0" xfId="292" applyFont="1" applyFill="1" applyBorder="1" applyAlignment="1">
      <alignment vertical="center"/>
    </xf>
    <xf numFmtId="0" fontId="51" fillId="2" borderId="0" xfId="292" applyFont="1" applyFill="1" applyBorder="1" applyAlignment="1">
      <alignment horizontal="center" vertical="center"/>
    </xf>
    <xf numFmtId="49" fontId="54" fillId="0" borderId="6" xfId="164" applyNumberFormat="1" applyFont="1" applyFill="1" applyBorder="1" applyAlignment="1">
      <alignment horizontal="center" vertical="top"/>
    </xf>
    <xf numFmtId="49" fontId="54" fillId="0" borderId="33" xfId="164" applyNumberFormat="1" applyFont="1" applyFill="1" applyBorder="1" applyAlignment="1">
      <alignment horizontal="center" vertical="top"/>
    </xf>
    <xf numFmtId="0" fontId="54" fillId="2" borderId="6" xfId="164" applyNumberFormat="1" applyFont="1" applyFill="1" applyBorder="1" applyAlignment="1">
      <alignment horizontal="left" wrapText="1"/>
    </xf>
    <xf numFmtId="0" fontId="54" fillId="0" borderId="6" xfId="164" applyNumberFormat="1" applyFont="1" applyFill="1" applyBorder="1" applyAlignment="1">
      <alignment horizontal="left" wrapText="1"/>
    </xf>
    <xf numFmtId="0" fontId="38" fillId="9" borderId="6" xfId="164" applyNumberFormat="1" applyFont="1" applyFill="1" applyBorder="1" applyAlignment="1">
      <alignment horizontal="left" wrapText="1"/>
    </xf>
    <xf numFmtId="0" fontId="54" fillId="8" borderId="6" xfId="164" applyNumberFormat="1" applyFont="1" applyFill="1" applyBorder="1" applyAlignment="1">
      <alignment horizontal="left" wrapText="1" indent="1"/>
    </xf>
    <xf numFmtId="4" fontId="54" fillId="8" borderId="36" xfId="164" applyNumberFormat="1" applyFont="1" applyFill="1" applyBorder="1" applyAlignment="1">
      <alignment horizontal="right"/>
    </xf>
    <xf numFmtId="0" fontId="54" fillId="0" borderId="18" xfId="164" applyNumberFormat="1" applyFont="1" applyFill="1" applyBorder="1" applyAlignment="1">
      <alignment horizontal="left" wrapText="1" indent="2"/>
    </xf>
    <xf numFmtId="0" fontId="54" fillId="0" borderId="19" xfId="164" applyNumberFormat="1" applyFont="1" applyFill="1" applyBorder="1" applyAlignment="1">
      <alignment horizontal="left" wrapText="1" indent="2"/>
    </xf>
    <xf numFmtId="0" fontId="54" fillId="8" borderId="19" xfId="164" applyNumberFormat="1" applyFont="1" applyFill="1" applyBorder="1" applyAlignment="1">
      <alignment horizontal="left" wrapText="1" indent="1"/>
    </xf>
    <xf numFmtId="0" fontId="54" fillId="0" borderId="18" xfId="164" applyNumberFormat="1" applyFont="1" applyFill="1" applyBorder="1" applyAlignment="1">
      <alignment horizontal="left" wrapText="1" indent="3"/>
    </xf>
    <xf numFmtId="0" fontId="54" fillId="2" borderId="19" xfId="164" applyNumberFormat="1" applyFont="1" applyFill="1" applyBorder="1" applyAlignment="1">
      <alignment horizontal="left" wrapText="1" indent="3"/>
    </xf>
    <xf numFmtId="0" fontId="54" fillId="0" borderId="6" xfId="164" applyNumberFormat="1" applyFont="1" applyFill="1" applyBorder="1" applyAlignment="1">
      <alignment horizontal="left" wrapText="1" indent="3"/>
    </xf>
    <xf numFmtId="0" fontId="54" fillId="2" borderId="6" xfId="164" applyNumberFormat="1" applyFont="1" applyFill="1" applyBorder="1" applyAlignment="1">
      <alignment horizontal="left" wrapText="1" indent="3"/>
    </xf>
    <xf numFmtId="0" fontId="54" fillId="0" borderId="19" xfId="0" applyNumberFormat="1" applyFont="1" applyFill="1" applyBorder="1" applyAlignment="1">
      <alignment horizontal="left" wrapText="1" indent="3"/>
    </xf>
    <xf numFmtId="0" fontId="54" fillId="0" borderId="19" xfId="164" applyNumberFormat="1" applyFont="1" applyFill="1" applyBorder="1" applyAlignment="1">
      <alignment horizontal="left" wrapText="1" indent="3"/>
    </xf>
    <xf numFmtId="0" fontId="54" fillId="8" borderId="19" xfId="164" applyNumberFormat="1" applyFont="1" applyFill="1" applyBorder="1" applyAlignment="1">
      <alignment horizontal="left" wrapText="1" indent="3"/>
    </xf>
    <xf numFmtId="49" fontId="54" fillId="0" borderId="6" xfId="164" applyNumberFormat="1" applyFont="1" applyFill="1" applyBorder="1" applyAlignment="1">
      <alignment horizontal="left" wrapText="1"/>
    </xf>
    <xf numFmtId="0" fontId="54" fillId="8" borderId="6" xfId="164" applyNumberFormat="1" applyFont="1" applyFill="1" applyBorder="1" applyAlignment="1">
      <alignment horizontal="left" wrapText="1" indent="2"/>
    </xf>
    <xf numFmtId="0" fontId="54" fillId="6" borderId="6" xfId="164" applyNumberFormat="1" applyFont="1" applyFill="1" applyBorder="1" applyAlignment="1">
      <alignment horizontal="left" wrapText="1" indent="3"/>
    </xf>
    <xf numFmtId="0" fontId="54" fillId="0" borderId="6" xfId="164" applyNumberFormat="1" applyFont="1" applyFill="1" applyBorder="1" applyAlignment="1">
      <alignment horizontal="left" wrapText="1" indent="4"/>
    </xf>
    <xf numFmtId="0" fontId="54" fillId="0" borderId="19" xfId="164" applyNumberFormat="1" applyFont="1" applyFill="1" applyBorder="1" applyAlignment="1">
      <alignment horizontal="left" wrapText="1" indent="4"/>
    </xf>
    <xf numFmtId="0" fontId="54" fillId="0" borderId="6" xfId="164" applyNumberFormat="1" applyFont="1" applyFill="1" applyBorder="1" applyAlignment="1">
      <alignment horizontal="left" wrapText="1" indent="1"/>
    </xf>
    <xf numFmtId="0" fontId="38" fillId="8" borderId="6" xfId="164" applyNumberFormat="1" applyFont="1" applyFill="1" applyBorder="1" applyAlignment="1">
      <alignment horizontal="left" wrapText="1"/>
    </xf>
    <xf numFmtId="0" fontId="54" fillId="0" borderId="6" xfId="164" applyNumberFormat="1" applyFont="1" applyFill="1" applyBorder="1" applyAlignment="1">
      <alignment horizontal="left" wrapText="1" indent="2"/>
    </xf>
    <xf numFmtId="49" fontId="54" fillId="0" borderId="20" xfId="164" applyNumberFormat="1" applyFont="1" applyFill="1" applyBorder="1" applyAlignment="1">
      <alignment horizontal="left" wrapText="1"/>
    </xf>
    <xf numFmtId="0" fontId="51" fillId="2" borderId="4" xfId="292" applyFont="1" applyFill="1" applyBorder="1" applyAlignment="1">
      <alignment horizontal="left" vertical="center"/>
    </xf>
    <xf numFmtId="0" fontId="50" fillId="2" borderId="19" xfId="164" applyNumberFormat="1" applyFont="1" applyFill="1" applyBorder="1" applyAlignment="1">
      <alignment horizontal="left" wrapText="1" indent="3"/>
    </xf>
    <xf numFmtId="49" fontId="50" fillId="2" borderId="6" xfId="164" applyNumberFormat="1" applyFont="1" applyFill="1" applyBorder="1" applyAlignment="1">
      <alignment horizontal="center"/>
    </xf>
    <xf numFmtId="49" fontId="50" fillId="2" borderId="7" xfId="164" applyNumberFormat="1" applyFont="1" applyFill="1" applyBorder="1" applyAlignment="1">
      <alignment horizontal="center"/>
    </xf>
    <xf numFmtId="0" fontId="38" fillId="0" borderId="0" xfId="164" applyNumberFormat="1" applyFont="1" applyFill="1" applyBorder="1" applyAlignment="1">
      <alignment horizontal="center"/>
    </xf>
    <xf numFmtId="4" fontId="54" fillId="0" borderId="0" xfId="164" applyNumberFormat="1" applyFont="1" applyAlignment="1">
      <alignment horizontal="center"/>
    </xf>
    <xf numFmtId="4" fontId="54" fillId="0" borderId="0" xfId="164" applyNumberFormat="1" applyFont="1" applyFill="1" applyBorder="1" applyAlignment="1">
      <alignment horizontal="center"/>
    </xf>
    <xf numFmtId="0" fontId="50" fillId="2" borderId="0" xfId="292" applyFont="1" applyFill="1" applyAlignment="1">
      <alignment horizontal="right" vertical="center"/>
    </xf>
    <xf numFmtId="0" fontId="49" fillId="2" borderId="0" xfId="292" applyFont="1" applyFill="1" applyAlignment="1">
      <alignment horizontal="center" vertical="center"/>
    </xf>
    <xf numFmtId="0" fontId="87" fillId="2" borderId="0" xfId="292" applyFont="1" applyFill="1" applyBorder="1" applyAlignment="1">
      <alignment horizontal="center" vertical="center"/>
    </xf>
    <xf numFmtId="0" fontId="0" fillId="0" borderId="0" xfId="0" applyAlignment="1">
      <alignment horizontal="center" vertical="center"/>
    </xf>
    <xf numFmtId="4" fontId="62" fillId="0" borderId="1" xfId="5" applyNumberFormat="1" applyFont="1" applyFill="1" applyBorder="1" applyAlignment="1">
      <alignment horizontal="center" vertical="center"/>
    </xf>
    <xf numFmtId="0" fontId="28" fillId="0" borderId="8" xfId="0" applyFont="1" applyFill="1" applyBorder="1" applyAlignment="1">
      <alignment vertical="center" wrapText="1"/>
    </xf>
    <xf numFmtId="4" fontId="50" fillId="0" borderId="1" xfId="5" applyNumberFormat="1" applyFont="1" applyFill="1" applyBorder="1" applyAlignment="1">
      <alignment horizontal="center" vertical="center" wrapText="1"/>
    </xf>
    <xf numFmtId="4" fontId="63" fillId="0" borderId="1" xfId="5" applyNumberFormat="1" applyFont="1" applyFill="1" applyBorder="1" applyAlignment="1">
      <alignment horizontal="center" vertical="center" wrapText="1"/>
    </xf>
    <xf numFmtId="0" fontId="50" fillId="2" borderId="1" xfId="5" applyFont="1" applyFill="1" applyBorder="1" applyAlignment="1">
      <alignment horizontal="center" vertical="center" wrapText="1"/>
    </xf>
    <xf numFmtId="4" fontId="49" fillId="6" borderId="1" xfId="5" applyNumberFormat="1" applyFont="1" applyFill="1" applyBorder="1" applyAlignment="1">
      <alignment horizontal="center" vertical="center" wrapText="1"/>
    </xf>
    <xf numFmtId="49" fontId="50" fillId="0" borderId="0" xfId="5" applyNumberFormat="1" applyFont="1" applyFill="1" applyBorder="1" applyAlignment="1">
      <alignment horizontal="center" wrapText="1"/>
    </xf>
    <xf numFmtId="49" fontId="50" fillId="0" borderId="0" xfId="5" applyNumberFormat="1" applyFont="1" applyFill="1"/>
    <xf numFmtId="0" fontId="0" fillId="0" borderId="0" xfId="0" applyFill="1"/>
    <xf numFmtId="0" fontId="0" fillId="0" borderId="0" xfId="0" applyFill="1" applyAlignment="1">
      <alignment horizontal="center" vertical="center"/>
    </xf>
    <xf numFmtId="0" fontId="0" fillId="0" borderId="0" xfId="0" applyFill="1" applyAlignment="1">
      <alignment horizontal="center" vertical="center" wrapText="1"/>
    </xf>
    <xf numFmtId="4" fontId="0" fillId="0" borderId="0" xfId="0" applyNumberFormat="1"/>
    <xf numFmtId="4" fontId="0" fillId="0" borderId="0" xfId="0" applyNumberFormat="1" applyFill="1"/>
    <xf numFmtId="4" fontId="0" fillId="0" borderId="0" xfId="0" applyNumberFormat="1" applyFill="1" applyAlignment="1">
      <alignment horizontal="center" vertical="center"/>
    </xf>
    <xf numFmtId="0" fontId="62" fillId="0" borderId="0" xfId="0" applyFont="1" applyFill="1" applyBorder="1"/>
    <xf numFmtId="4" fontId="62" fillId="0" borderId="0" xfId="0" applyNumberFormat="1" applyFont="1" applyFill="1" applyBorder="1"/>
    <xf numFmtId="0" fontId="63" fillId="0" borderId="0" xfId="0" applyFont="1" applyFill="1" applyBorder="1" applyAlignment="1">
      <alignment horizontal="center"/>
    </xf>
    <xf numFmtId="4" fontId="63" fillId="0" borderId="0" xfId="0" applyNumberFormat="1" applyFont="1" applyFill="1" applyBorder="1" applyAlignment="1">
      <alignment horizontal="center"/>
    </xf>
    <xf numFmtId="0" fontId="92" fillId="0" borderId="0" xfId="0" applyFont="1" applyAlignment="1">
      <alignment horizontal="center" vertical="center"/>
    </xf>
    <xf numFmtId="0" fontId="62" fillId="0" borderId="4" xfId="5" applyFont="1" applyBorder="1" applyAlignment="1">
      <alignment horizontal="center"/>
    </xf>
    <xf numFmtId="0" fontId="62" fillId="0" borderId="1" xfId="0" applyFont="1" applyBorder="1" applyAlignment="1">
      <alignment horizontal="center" vertical="center" wrapText="1"/>
    </xf>
    <xf numFmtId="4" fontId="62" fillId="0" borderId="1" xfId="5" applyNumberFormat="1" applyFont="1" applyBorder="1" applyAlignment="1">
      <alignment horizontal="center" vertical="center" wrapText="1"/>
    </xf>
    <xf numFmtId="49" fontId="62" fillId="0" borderId="1" xfId="5" applyNumberFormat="1" applyFont="1" applyFill="1" applyBorder="1" applyAlignment="1">
      <alignment horizontal="center" vertical="center" wrapText="1"/>
    </xf>
    <xf numFmtId="0" fontId="62" fillId="0" borderId="1" xfId="5" applyFont="1" applyFill="1" applyBorder="1" applyAlignment="1">
      <alignment horizontal="left" vertical="center" wrapText="1"/>
    </xf>
    <xf numFmtId="0" fontId="63" fillId="0" borderId="1" xfId="5" applyFont="1" applyFill="1" applyBorder="1" applyAlignment="1">
      <alignment vertical="center" wrapText="1"/>
    </xf>
    <xf numFmtId="0" fontId="50" fillId="2" borderId="1" xfId="5" applyFont="1" applyFill="1" applyBorder="1" applyAlignment="1">
      <alignment vertical="center" wrapText="1"/>
    </xf>
    <xf numFmtId="0" fontId="62" fillId="0" borderId="1" xfId="5" applyFont="1" applyFill="1" applyBorder="1" applyAlignment="1">
      <alignment horizontal="center"/>
    </xf>
    <xf numFmtId="0" fontId="94" fillId="0" borderId="1" xfId="0" applyFont="1" applyBorder="1" applyAlignment="1">
      <alignment horizontal="center" vertical="center"/>
    </xf>
    <xf numFmtId="4" fontId="62" fillId="2" borderId="7" xfId="5" applyNumberFormat="1" applyFont="1" applyFill="1" applyBorder="1" applyAlignment="1">
      <alignment horizontal="center" vertical="center" wrapText="1"/>
    </xf>
    <xf numFmtId="0" fontId="61" fillId="0" borderId="0" xfId="5" applyFill="1"/>
    <xf numFmtId="0" fontId="62" fillId="0" borderId="0" xfId="5" applyFont="1" applyFill="1" applyBorder="1" applyAlignment="1">
      <alignment horizontal="center"/>
    </xf>
    <xf numFmtId="4" fontId="61" fillId="0" borderId="0" xfId="5" applyNumberFormat="1" applyFill="1" applyBorder="1" applyAlignment="1">
      <alignment wrapText="1"/>
    </xf>
    <xf numFmtId="49" fontId="62" fillId="0" borderId="4" xfId="5" applyNumberFormat="1" applyFont="1" applyBorder="1" applyAlignment="1">
      <alignment horizontal="center"/>
    </xf>
    <xf numFmtId="14" fontId="62" fillId="0" borderId="0" xfId="5" applyNumberFormat="1" applyFont="1" applyBorder="1" applyAlignment="1">
      <alignment horizontal="center"/>
    </xf>
    <xf numFmtId="0" fontId="62" fillId="0" borderId="1" xfId="5" applyFont="1" applyBorder="1" applyAlignment="1">
      <alignment horizontal="center" vertical="center"/>
    </xf>
    <xf numFmtId="4" fontId="62" fillId="0" borderId="1" xfId="5" applyNumberFormat="1" applyFont="1" applyBorder="1" applyAlignment="1">
      <alignment horizontal="center" vertical="center"/>
    </xf>
    <xf numFmtId="0" fontId="62" fillId="2" borderId="1" xfId="5" applyFont="1" applyFill="1" applyBorder="1" applyAlignment="1">
      <alignment horizontal="center"/>
    </xf>
    <xf numFmtId="4" fontId="61" fillId="0" borderId="0" xfId="5" applyNumberFormat="1" applyFill="1"/>
    <xf numFmtId="4" fontId="84" fillId="0" borderId="0" xfId="5" applyNumberFormat="1" applyFont="1" applyFill="1" applyBorder="1"/>
    <xf numFmtId="4" fontId="61" fillId="0" borderId="0" xfId="5" applyNumberFormat="1" applyFill="1" applyBorder="1"/>
    <xf numFmtId="4" fontId="62" fillId="0" borderId="1" xfId="5" applyNumberFormat="1" applyFont="1" applyFill="1" applyBorder="1" applyAlignment="1">
      <alignment horizontal="right" vertical="center" wrapText="1"/>
    </xf>
    <xf numFmtId="4" fontId="62" fillId="0" borderId="1" xfId="5" applyNumberFormat="1" applyFont="1" applyBorder="1"/>
    <xf numFmtId="4" fontId="63" fillId="0" borderId="1" xfId="5" applyNumberFormat="1" applyFont="1" applyBorder="1" applyAlignment="1">
      <alignment vertical="center"/>
    </xf>
    <xf numFmtId="0" fontId="63" fillId="0" borderId="1" xfId="5" applyFont="1" applyFill="1" applyBorder="1" applyAlignment="1">
      <alignment horizontal="center" vertical="center" wrapText="1"/>
    </xf>
    <xf numFmtId="4" fontId="28" fillId="0" borderId="0" xfId="0" applyNumberFormat="1" applyFont="1"/>
    <xf numFmtId="0" fontId="28" fillId="0" borderId="0" xfId="0" applyFont="1"/>
    <xf numFmtId="0" fontId="28" fillId="0" borderId="0" xfId="0" applyFont="1" applyFill="1" applyBorder="1" applyAlignment="1">
      <alignment horizontal="center" vertical="center"/>
    </xf>
    <xf numFmtId="0" fontId="28" fillId="0" borderId="0"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4" xfId="0" applyFont="1" applyFill="1" applyBorder="1" applyAlignment="1">
      <alignment horizontal="center" vertical="center"/>
    </xf>
    <xf numFmtId="0" fontId="28" fillId="0" borderId="4" xfId="0" applyFont="1" applyFill="1" applyBorder="1" applyAlignment="1">
      <alignment horizontal="center" vertical="center" wrapText="1"/>
    </xf>
    <xf numFmtId="0" fontId="28" fillId="0" borderId="9" xfId="0" applyFont="1" applyFill="1" applyBorder="1" applyAlignment="1">
      <alignment horizontal="center" vertical="center"/>
    </xf>
    <xf numFmtId="0" fontId="28" fillId="0" borderId="8" xfId="0" applyFont="1" applyFill="1" applyBorder="1" applyAlignment="1">
      <alignment horizontal="center" vertical="center"/>
    </xf>
    <xf numFmtId="0" fontId="29" fillId="0" borderId="0" xfId="0" applyFont="1" applyFill="1" applyBorder="1" applyAlignment="1">
      <alignment horizontal="center" vertical="center" wrapText="1"/>
    </xf>
    <xf numFmtId="0" fontId="29" fillId="0" borderId="2" xfId="0" applyFont="1" applyFill="1" applyBorder="1" applyAlignment="1">
      <alignment horizontal="center" vertical="center" wrapText="1"/>
    </xf>
    <xf numFmtId="4" fontId="70" fillId="0" borderId="0" xfId="0" applyNumberFormat="1" applyFont="1" applyFill="1"/>
    <xf numFmtId="0" fontId="29" fillId="0" borderId="10" xfId="0" applyFont="1" applyFill="1" applyBorder="1" applyAlignment="1">
      <alignment horizontal="left" vertical="center" wrapText="1"/>
    </xf>
    <xf numFmtId="0" fontId="29" fillId="0" borderId="1" xfId="0" applyFont="1" applyBorder="1" applyAlignment="1">
      <alignment horizontal="center" vertical="center" wrapText="1"/>
    </xf>
    <xf numFmtId="4" fontId="0" fillId="0" borderId="0" xfId="0" applyNumberFormat="1" applyFill="1" applyAlignment="1">
      <alignment horizontal="right" vertical="center"/>
    </xf>
    <xf numFmtId="4" fontId="29" fillId="5" borderId="10" xfId="0" applyNumberFormat="1" applyFont="1" applyFill="1" applyBorder="1" applyAlignment="1">
      <alignment horizontal="right" vertical="center" wrapText="1"/>
    </xf>
    <xf numFmtId="4" fontId="29" fillId="0" borderId="2" xfId="0" applyNumberFormat="1" applyFont="1" applyFill="1" applyBorder="1" applyAlignment="1">
      <alignment horizontal="right" vertical="center"/>
    </xf>
    <xf numFmtId="4" fontId="29" fillId="0" borderId="10" xfId="0" applyNumberFormat="1" applyFont="1" applyFill="1" applyBorder="1" applyAlignment="1">
      <alignment horizontal="right" vertical="center"/>
    </xf>
    <xf numFmtId="4" fontId="28" fillId="0" borderId="0" xfId="0" applyNumberFormat="1" applyFont="1" applyFill="1" applyBorder="1" applyAlignment="1">
      <alignment horizontal="right" vertical="center"/>
    </xf>
    <xf numFmtId="4" fontId="28" fillId="0" borderId="9" xfId="0" applyNumberFormat="1" applyFont="1" applyFill="1" applyBorder="1" applyAlignment="1">
      <alignment horizontal="right" vertical="center"/>
    </xf>
    <xf numFmtId="4" fontId="28" fillId="0" borderId="4" xfId="0" applyNumberFormat="1" applyFont="1" applyFill="1" applyBorder="1" applyAlignment="1">
      <alignment horizontal="right" vertical="center"/>
    </xf>
    <xf numFmtId="4" fontId="28" fillId="0" borderId="8" xfId="0" applyNumberFormat="1" applyFont="1" applyFill="1" applyBorder="1" applyAlignment="1">
      <alignment horizontal="right" vertical="center"/>
    </xf>
    <xf numFmtId="4" fontId="29" fillId="5" borderId="8" xfId="0" applyNumberFormat="1" applyFont="1" applyFill="1" applyBorder="1" applyAlignment="1">
      <alignment horizontal="right" vertical="center" wrapText="1"/>
    </xf>
    <xf numFmtId="4" fontId="0" fillId="0" borderId="0" xfId="0" applyNumberFormat="1" applyAlignment="1">
      <alignment horizontal="right" vertical="center"/>
    </xf>
    <xf numFmtId="0" fontId="0" fillId="0" borderId="0" xfId="0" applyFill="1" applyAlignment="1">
      <alignment vertical="center" wrapText="1"/>
    </xf>
    <xf numFmtId="0" fontId="29" fillId="0" borderId="10" xfId="0" applyFont="1" applyFill="1" applyBorder="1" applyAlignment="1">
      <alignment vertical="center" wrapText="1"/>
    </xf>
    <xf numFmtId="0" fontId="28" fillId="0" borderId="9" xfId="0" applyFont="1" applyFill="1" applyBorder="1" applyAlignment="1">
      <alignment vertical="center" wrapText="1"/>
    </xf>
    <xf numFmtId="0" fontId="0" fillId="0" borderId="0" xfId="0" applyAlignment="1">
      <alignment vertical="center" wrapText="1"/>
    </xf>
    <xf numFmtId="0" fontId="29" fillId="0" borderId="1" xfId="0" applyFont="1" applyFill="1" applyBorder="1" applyAlignment="1">
      <alignment vertical="center" wrapText="1"/>
    </xf>
    <xf numFmtId="0" fontId="28" fillId="0" borderId="0" xfId="0" applyFont="1" applyFill="1" applyBorder="1" applyAlignment="1">
      <alignment vertical="center" wrapText="1"/>
    </xf>
    <xf numFmtId="0" fontId="29" fillId="0" borderId="2" xfId="0" applyFont="1" applyFill="1" applyBorder="1" applyAlignment="1">
      <alignment vertical="center" wrapText="1"/>
    </xf>
    <xf numFmtId="0" fontId="28" fillId="0" borderId="4" xfId="0" applyFont="1" applyFill="1" applyBorder="1" applyAlignment="1">
      <alignment vertical="center" wrapText="1"/>
    </xf>
    <xf numFmtId="0" fontId="29" fillId="0" borderId="0" xfId="0" applyFont="1" applyFill="1" applyBorder="1" applyAlignment="1">
      <alignment horizontal="left" vertical="center" wrapText="1"/>
    </xf>
    <xf numFmtId="0" fontId="29" fillId="0" borderId="10" xfId="0" applyFont="1" applyFill="1" applyBorder="1" applyAlignment="1">
      <alignment horizontal="center" vertical="center" wrapText="1"/>
    </xf>
    <xf numFmtId="4" fontId="0" fillId="0" borderId="0" xfId="0" applyNumberFormat="1" applyFill="1" applyAlignment="1">
      <alignment horizontal="right" vertical="center" wrapText="1"/>
    </xf>
    <xf numFmtId="4" fontId="29" fillId="0" borderId="10" xfId="0" applyNumberFormat="1" applyFont="1" applyFill="1" applyBorder="1" applyAlignment="1">
      <alignment horizontal="right" vertical="center" wrapText="1"/>
    </xf>
    <xf numFmtId="4" fontId="28" fillId="0" borderId="9" xfId="0" applyNumberFormat="1" applyFont="1" applyFill="1" applyBorder="1" applyAlignment="1">
      <alignment horizontal="right" vertical="center" wrapText="1"/>
    </xf>
    <xf numFmtId="4" fontId="28" fillId="0" borderId="8" xfId="0" applyNumberFormat="1" applyFont="1" applyFill="1" applyBorder="1" applyAlignment="1">
      <alignment horizontal="right" vertical="center" wrapText="1"/>
    </xf>
    <xf numFmtId="4" fontId="29" fillId="0" borderId="1" xfId="0" applyNumberFormat="1" applyFont="1" applyFill="1" applyBorder="1" applyAlignment="1">
      <alignment horizontal="right" vertical="center" wrapText="1"/>
    </xf>
    <xf numFmtId="4" fontId="29" fillId="5" borderId="1" xfId="0" applyNumberFormat="1" applyFont="1" applyFill="1" applyBorder="1" applyAlignment="1">
      <alignment horizontal="right" vertical="center" wrapText="1"/>
    </xf>
    <xf numFmtId="4" fontId="29" fillId="0" borderId="0" xfId="0" applyNumberFormat="1" applyFont="1" applyFill="1" applyBorder="1" applyAlignment="1">
      <alignment horizontal="right" vertical="center" wrapText="1"/>
    </xf>
    <xf numFmtId="4" fontId="0" fillId="0" borderId="0" xfId="0" applyNumberFormat="1" applyAlignment="1">
      <alignment horizontal="right" vertical="center" wrapText="1"/>
    </xf>
    <xf numFmtId="4" fontId="29" fillId="0" borderId="9" xfId="0" applyNumberFormat="1" applyFont="1" applyFill="1" applyBorder="1" applyAlignment="1">
      <alignment horizontal="right" vertical="center" wrapText="1"/>
    </xf>
    <xf numFmtId="4" fontId="29" fillId="0" borderId="2" xfId="0" applyNumberFormat="1" applyFont="1" applyFill="1" applyBorder="1" applyAlignment="1">
      <alignment horizontal="right" vertical="center" wrapText="1"/>
    </xf>
    <xf numFmtId="4" fontId="28" fillId="0" borderId="0" xfId="0" applyNumberFormat="1" applyFont="1" applyFill="1"/>
    <xf numFmtId="0" fontId="28" fillId="0" borderId="0" xfId="0" applyFont="1" applyFill="1"/>
    <xf numFmtId="4" fontId="28" fillId="0" borderId="4" xfId="0" applyNumberFormat="1" applyFont="1" applyFill="1" applyBorder="1" applyAlignment="1">
      <alignment horizontal="right" vertical="center" wrapText="1"/>
    </xf>
    <xf numFmtId="4" fontId="29" fillId="0" borderId="8" xfId="0" applyNumberFormat="1" applyFont="1" applyFill="1" applyBorder="1" applyAlignment="1">
      <alignment horizontal="right" vertical="center"/>
    </xf>
    <xf numFmtId="0" fontId="29" fillId="0" borderId="9" xfId="0" applyFont="1" applyFill="1" applyBorder="1" applyAlignment="1">
      <alignment horizontal="center" vertical="center" wrapText="1"/>
    </xf>
    <xf numFmtId="4" fontId="29" fillId="0" borderId="9" xfId="0" applyNumberFormat="1" applyFont="1" applyFill="1" applyBorder="1" applyAlignment="1">
      <alignment horizontal="right" vertical="center"/>
    </xf>
    <xf numFmtId="4" fontId="28" fillId="0" borderId="0" xfId="0" applyNumberFormat="1" applyFont="1" applyFill="1" applyBorder="1" applyAlignment="1">
      <alignment horizontal="right" vertical="center" wrapText="1"/>
    </xf>
    <xf numFmtId="0" fontId="28" fillId="0" borderId="0" xfId="0" applyFont="1" applyFill="1" applyBorder="1" applyAlignment="1">
      <alignment wrapText="1"/>
    </xf>
    <xf numFmtId="4" fontId="28" fillId="0" borderId="2" xfId="0" applyNumberFormat="1" applyFont="1" applyFill="1" applyBorder="1" applyAlignment="1">
      <alignment horizontal="right" vertical="center" wrapText="1"/>
    </xf>
    <xf numFmtId="4" fontId="28" fillId="0" borderId="10" xfId="0" applyNumberFormat="1" applyFont="1" applyFill="1" applyBorder="1" applyAlignment="1">
      <alignment horizontal="right" vertical="center"/>
    </xf>
    <xf numFmtId="0" fontId="29" fillId="0" borderId="9" xfId="0" applyFont="1" applyFill="1" applyBorder="1" applyAlignment="1">
      <alignment vertical="center" wrapText="1"/>
    </xf>
    <xf numFmtId="0" fontId="29" fillId="0" borderId="3" xfId="0" applyFont="1" applyFill="1" applyBorder="1" applyAlignment="1">
      <alignment horizontal="center" vertical="center" wrapText="1"/>
    </xf>
    <xf numFmtId="4" fontId="28" fillId="0" borderId="10" xfId="0" applyNumberFormat="1" applyFont="1" applyFill="1" applyBorder="1" applyAlignment="1">
      <alignment horizontal="right" vertical="center" wrapText="1"/>
    </xf>
    <xf numFmtId="4" fontId="28" fillId="0" borderId="2" xfId="0" applyNumberFormat="1" applyFont="1" applyFill="1" applyBorder="1" applyAlignment="1">
      <alignment horizontal="right" vertical="center"/>
    </xf>
    <xf numFmtId="0" fontId="28" fillId="0" borderId="15" xfId="0" applyFont="1" applyFill="1" applyBorder="1" applyAlignment="1">
      <alignment horizontal="center" vertical="center" wrapText="1"/>
    </xf>
    <xf numFmtId="0" fontId="28" fillId="0" borderId="38" xfId="0" applyFont="1" applyFill="1" applyBorder="1" applyAlignment="1">
      <alignment horizontal="center" vertical="center" wrapText="1"/>
    </xf>
    <xf numFmtId="0" fontId="29" fillId="0" borderId="10" xfId="0" applyFont="1" applyFill="1" applyBorder="1" applyAlignment="1">
      <alignment vertical="top" wrapText="1"/>
    </xf>
    <xf numFmtId="0" fontId="29" fillId="0" borderId="11" xfId="0" applyFont="1" applyFill="1" applyBorder="1" applyAlignment="1">
      <alignment horizontal="center" vertical="center" wrapText="1"/>
    </xf>
    <xf numFmtId="4" fontId="29" fillId="0" borderId="11" xfId="0" applyNumberFormat="1" applyFont="1" applyFill="1" applyBorder="1" applyAlignment="1">
      <alignment horizontal="right" vertical="center"/>
    </xf>
    <xf numFmtId="0" fontId="29" fillId="0" borderId="1" xfId="0" applyFont="1" applyFill="1" applyBorder="1" applyAlignment="1">
      <alignment horizontal="center" vertical="center" wrapText="1"/>
    </xf>
    <xf numFmtId="0" fontId="74" fillId="0" borderId="0" xfId="5" applyFont="1"/>
    <xf numFmtId="0" fontId="49" fillId="2" borderId="0" xfId="292" applyFont="1" applyFill="1" applyAlignment="1">
      <alignment horizontal="center" vertical="center"/>
    </xf>
    <xf numFmtId="0" fontId="50" fillId="0" borderId="0" xfId="292" applyFont="1" applyFill="1" applyBorder="1" applyAlignment="1">
      <alignment horizontal="center" vertical="center"/>
    </xf>
    <xf numFmtId="0" fontId="87" fillId="2" borderId="0" xfId="292" applyFont="1" applyFill="1" applyBorder="1" applyAlignment="1">
      <alignment horizontal="center" vertical="center"/>
    </xf>
    <xf numFmtId="0" fontId="50" fillId="2" borderId="0" xfId="292" applyFont="1" applyFill="1" applyBorder="1" applyAlignment="1">
      <alignment horizontal="center" vertical="center"/>
    </xf>
    <xf numFmtId="0" fontId="62" fillId="2" borderId="0" xfId="0" applyFont="1" applyFill="1"/>
    <xf numFmtId="0" fontId="0" fillId="0" borderId="0" xfId="0" applyAlignment="1">
      <alignment horizontal="center" vertical="center" wrapText="1"/>
    </xf>
    <xf numFmtId="0" fontId="47" fillId="0" borderId="0" xfId="0" applyFont="1" applyAlignment="1">
      <alignment horizontal="center" vertical="center"/>
    </xf>
    <xf numFmtId="0" fontId="49" fillId="0" borderId="0" xfId="164" applyNumberFormat="1" applyFont="1" applyFill="1" applyBorder="1" applyAlignment="1">
      <alignment horizontal="center"/>
    </xf>
    <xf numFmtId="0" fontId="86" fillId="0" borderId="0" xfId="164" applyFont="1"/>
    <xf numFmtId="49" fontId="50" fillId="0" borderId="3" xfId="164" applyNumberFormat="1" applyFont="1" applyFill="1" applyBorder="1" applyAlignment="1">
      <alignment horizontal="center" vertical="top"/>
    </xf>
    <xf numFmtId="49" fontId="50" fillId="2" borderId="13" xfId="164" applyNumberFormat="1" applyFont="1" applyFill="1" applyBorder="1" applyAlignment="1">
      <alignment horizontal="center"/>
    </xf>
    <xf numFmtId="49" fontId="50" fillId="0" borderId="7" xfId="164" applyNumberFormat="1" applyFont="1" applyFill="1" applyBorder="1" applyAlignment="1">
      <alignment horizontal="center"/>
    </xf>
    <xf numFmtId="49" fontId="50" fillId="9" borderId="7" xfId="164" applyNumberFormat="1" applyFont="1" applyFill="1" applyBorder="1" applyAlignment="1">
      <alignment horizontal="center" wrapText="1"/>
    </xf>
    <xf numFmtId="49" fontId="50" fillId="8" borderId="7" xfId="164" applyNumberFormat="1" applyFont="1" applyFill="1" applyBorder="1" applyAlignment="1">
      <alignment horizontal="center" wrapText="1"/>
    </xf>
    <xf numFmtId="49" fontId="50" fillId="0" borderId="3" xfId="164" applyNumberFormat="1" applyFont="1" applyFill="1" applyBorder="1" applyAlignment="1">
      <alignment horizontal="center" wrapText="1"/>
    </xf>
    <xf numFmtId="49" fontId="50" fillId="0" borderId="15" xfId="164" applyNumberFormat="1" applyFont="1" applyFill="1" applyBorder="1" applyAlignment="1">
      <alignment horizontal="center" wrapText="1"/>
    </xf>
    <xf numFmtId="49" fontId="50" fillId="8" borderId="15" xfId="164" applyNumberFormat="1" applyFont="1" applyFill="1" applyBorder="1" applyAlignment="1">
      <alignment horizontal="center" wrapText="1"/>
    </xf>
    <xf numFmtId="49" fontId="50" fillId="2" borderId="15" xfId="164" applyNumberFormat="1" applyFont="1" applyFill="1" applyBorder="1" applyAlignment="1">
      <alignment horizontal="center" wrapText="1"/>
    </xf>
    <xf numFmtId="49" fontId="50" fillId="0" borderId="7" xfId="164" applyNumberFormat="1" applyFont="1" applyFill="1" applyBorder="1" applyAlignment="1">
      <alignment horizontal="center" wrapText="1"/>
    </xf>
    <xf numFmtId="49" fontId="50" fillId="0" borderId="7" xfId="0" applyNumberFormat="1" applyFont="1" applyFill="1" applyBorder="1" applyAlignment="1">
      <alignment horizontal="center" wrapText="1"/>
    </xf>
    <xf numFmtId="49" fontId="50" fillId="6" borderId="7" xfId="164" applyNumberFormat="1" applyFont="1" applyFill="1" applyBorder="1" applyAlignment="1">
      <alignment horizontal="center" wrapText="1"/>
    </xf>
    <xf numFmtId="49" fontId="50" fillId="0" borderId="17" xfId="164" applyNumberFormat="1" applyFont="1" applyFill="1" applyBorder="1" applyAlignment="1">
      <alignment horizontal="center" wrapText="1"/>
    </xf>
    <xf numFmtId="49" fontId="50" fillId="0" borderId="13" xfId="164" applyNumberFormat="1" applyFont="1" applyFill="1" applyBorder="1" applyAlignment="1">
      <alignment horizontal="center" wrapText="1"/>
    </xf>
    <xf numFmtId="49" fontId="50" fillId="0" borderId="22" xfId="164" applyNumberFormat="1" applyFont="1" applyFill="1" applyBorder="1" applyAlignment="1">
      <alignment horizontal="center" wrapText="1"/>
    </xf>
    <xf numFmtId="4" fontId="29" fillId="2" borderId="1" xfId="0" applyNumberFormat="1" applyFont="1" applyFill="1" applyBorder="1" applyAlignment="1">
      <alignment horizontal="right" vertical="center" wrapText="1"/>
    </xf>
    <xf numFmtId="4" fontId="29" fillId="0" borderId="1" xfId="0" applyNumberFormat="1" applyFont="1" applyBorder="1" applyAlignment="1">
      <alignment horizontal="right" vertical="center" wrapText="1"/>
    </xf>
    <xf numFmtId="4" fontId="34" fillId="0" borderId="0" xfId="0" applyNumberFormat="1" applyFont="1" applyFill="1" applyAlignment="1">
      <alignment horizontal="right" vertical="center"/>
    </xf>
    <xf numFmtId="4" fontId="53" fillId="0" borderId="2" xfId="0" applyNumberFormat="1" applyFont="1" applyFill="1" applyBorder="1" applyAlignment="1">
      <alignment horizontal="right" vertical="center"/>
    </xf>
    <xf numFmtId="4" fontId="53" fillId="0" borderId="10" xfId="0" applyNumberFormat="1" applyFont="1" applyFill="1" applyBorder="1" applyAlignment="1">
      <alignment horizontal="right" vertical="center"/>
    </xf>
    <xf numFmtId="4" fontId="34" fillId="0" borderId="0" xfId="0" applyNumberFormat="1" applyFont="1" applyFill="1" applyBorder="1" applyAlignment="1">
      <alignment horizontal="right" vertical="center"/>
    </xf>
    <xf numFmtId="4" fontId="34" fillId="0" borderId="9" xfId="0" applyNumberFormat="1" applyFont="1" applyFill="1" applyBorder="1" applyAlignment="1">
      <alignment horizontal="right" vertical="center"/>
    </xf>
    <xf numFmtId="4" fontId="34" fillId="0" borderId="4" xfId="0" applyNumberFormat="1" applyFont="1" applyFill="1" applyBorder="1" applyAlignment="1">
      <alignment horizontal="right" vertical="center"/>
    </xf>
    <xf numFmtId="4" fontId="34" fillId="0" borderId="8" xfId="0" applyNumberFormat="1" applyFont="1" applyFill="1" applyBorder="1" applyAlignment="1">
      <alignment horizontal="right" vertical="center"/>
    </xf>
    <xf numFmtId="4" fontId="53" fillId="0" borderId="10" xfId="0" applyNumberFormat="1" applyFont="1" applyFill="1" applyBorder="1" applyAlignment="1">
      <alignment horizontal="right" vertical="center" wrapText="1"/>
    </xf>
    <xf numFmtId="4" fontId="34" fillId="0" borderId="0" xfId="0" applyNumberFormat="1" applyFont="1" applyAlignment="1">
      <alignment horizontal="right" vertical="center"/>
    </xf>
    <xf numFmtId="4" fontId="29" fillId="2" borderId="1" xfId="0" applyNumberFormat="1" applyFont="1" applyFill="1" applyBorder="1" applyAlignment="1">
      <alignment horizontal="right" vertical="center"/>
    </xf>
    <xf numFmtId="4" fontId="0" fillId="0" borderId="0" xfId="0" applyNumberFormat="1" applyAlignment="1">
      <alignment horizontal="center"/>
    </xf>
    <xf numFmtId="4" fontId="62" fillId="0" borderId="0" xfId="0" applyNumberFormat="1" applyFont="1"/>
    <xf numFmtId="4" fontId="53" fillId="2" borderId="10" xfId="0" applyNumberFormat="1" applyFont="1" applyFill="1" applyBorder="1" applyAlignment="1">
      <alignment horizontal="right" vertical="center"/>
    </xf>
    <xf numFmtId="4" fontId="34" fillId="2" borderId="1" xfId="0" applyNumberFormat="1" applyFont="1" applyFill="1" applyBorder="1" applyAlignment="1">
      <alignment horizontal="right" vertical="center"/>
    </xf>
    <xf numFmtId="4" fontId="53" fillId="2" borderId="10" xfId="0" applyNumberFormat="1" applyFont="1" applyFill="1" applyBorder="1" applyAlignment="1">
      <alignment horizontal="right" vertical="center" wrapText="1"/>
    </xf>
    <xf numFmtId="0" fontId="29" fillId="0" borderId="38" xfId="0" applyFont="1" applyFill="1" applyBorder="1" applyAlignment="1">
      <alignment horizontal="center" vertical="center" wrapText="1"/>
    </xf>
    <xf numFmtId="4" fontId="49" fillId="2" borderId="1" xfId="5" applyNumberFormat="1" applyFont="1" applyFill="1" applyBorder="1" applyAlignment="1">
      <alignment horizontal="center" vertical="center" wrapText="1"/>
    </xf>
    <xf numFmtId="4" fontId="53" fillId="2" borderId="7" xfId="0" applyNumberFormat="1" applyFont="1" applyFill="1" applyBorder="1" applyAlignment="1">
      <alignment horizontal="right" vertical="center"/>
    </xf>
    <xf numFmtId="0" fontId="0" fillId="0" borderId="0" xfId="0" applyAlignment="1">
      <alignment horizontal="center" vertical="center" wrapText="1"/>
    </xf>
    <xf numFmtId="4" fontId="62" fillId="0" borderId="0" xfId="5" applyNumberFormat="1" applyFont="1" applyAlignment="1">
      <alignment horizontal="center"/>
    </xf>
    <xf numFmtId="0" fontId="50" fillId="2" borderId="0" xfId="292" applyFont="1" applyFill="1" applyBorder="1" applyAlignment="1">
      <alignment horizontal="right" vertical="center"/>
    </xf>
    <xf numFmtId="0" fontId="50" fillId="2" borderId="0" xfId="292" applyFont="1" applyFill="1" applyAlignment="1">
      <alignment horizontal="right" vertical="center"/>
    </xf>
    <xf numFmtId="0" fontId="49" fillId="2" borderId="0" xfId="292" applyFont="1" applyFill="1" applyAlignment="1">
      <alignment horizontal="center" vertical="center"/>
    </xf>
    <xf numFmtId="0" fontId="50" fillId="2" borderId="0" xfId="292" applyFont="1" applyFill="1" applyBorder="1" applyAlignment="1">
      <alignment horizontal="center" vertical="center"/>
    </xf>
    <xf numFmtId="0" fontId="0" fillId="0" borderId="0" xfId="0" applyAlignment="1">
      <alignment horizontal="center" vertical="center" wrapText="1"/>
    </xf>
    <xf numFmtId="4" fontId="34" fillId="0" borderId="0" xfId="0" applyNumberFormat="1" applyFont="1"/>
    <xf numFmtId="4" fontId="34" fillId="0" borderId="0" xfId="0" applyNumberFormat="1" applyFont="1" applyFill="1"/>
    <xf numFmtId="4" fontId="34" fillId="0" borderId="1" xfId="15" applyNumberFormat="1" applyFont="1" applyFill="1" applyBorder="1" applyAlignment="1">
      <alignment horizontal="center" vertical="center" wrapText="1"/>
    </xf>
    <xf numFmtId="49" fontId="49" fillId="8" borderId="1" xfId="5" applyNumberFormat="1" applyFont="1" applyFill="1" applyBorder="1" applyAlignment="1">
      <alignment horizontal="center" vertical="center" wrapText="1"/>
    </xf>
    <xf numFmtId="49" fontId="49" fillId="2" borderId="1" xfId="5" applyNumberFormat="1" applyFont="1" applyFill="1" applyBorder="1" applyAlignment="1">
      <alignment horizontal="center" vertical="center" wrapText="1"/>
    </xf>
    <xf numFmtId="49" fontId="49" fillId="6" borderId="1" xfId="5" applyNumberFormat="1" applyFont="1" applyFill="1" applyBorder="1" applyAlignment="1">
      <alignment horizontal="center" vertical="center" wrapText="1"/>
    </xf>
    <xf numFmtId="49" fontId="50" fillId="0" borderId="1" xfId="5" applyNumberFormat="1" applyFont="1" applyBorder="1" applyAlignment="1">
      <alignment horizontal="center" vertical="center" wrapText="1"/>
    </xf>
    <xf numFmtId="49" fontId="50" fillId="2" borderId="1" xfId="5" applyNumberFormat="1" applyFont="1" applyFill="1" applyBorder="1" applyAlignment="1">
      <alignment vertical="center" wrapText="1"/>
    </xf>
    <xf numFmtId="49" fontId="49" fillId="0" borderId="1" xfId="5" applyNumberFormat="1" applyFont="1" applyBorder="1" applyAlignment="1">
      <alignment horizontal="center" vertical="center" wrapText="1"/>
    </xf>
    <xf numFmtId="170" fontId="50" fillId="0" borderId="0" xfId="5" applyNumberFormat="1" applyFont="1" applyFill="1" applyAlignment="1">
      <alignment horizontal="center"/>
    </xf>
    <xf numFmtId="4" fontId="34" fillId="0" borderId="0" xfId="0" applyNumberFormat="1" applyFont="1" applyAlignment="1">
      <alignment horizontal="center" vertical="center"/>
    </xf>
    <xf numFmtId="4" fontId="53" fillId="0" borderId="1" xfId="0" applyNumberFormat="1" applyFont="1" applyFill="1" applyBorder="1" applyAlignment="1">
      <alignment horizontal="right" vertical="center" wrapText="1"/>
    </xf>
    <xf numFmtId="4" fontId="34" fillId="0" borderId="1" xfId="0" applyNumberFormat="1" applyFont="1" applyFill="1" applyBorder="1" applyAlignment="1">
      <alignment horizontal="right" vertical="center"/>
    </xf>
    <xf numFmtId="4" fontId="53" fillId="0" borderId="9" xfId="0" applyNumberFormat="1" applyFont="1" applyFill="1" applyBorder="1" applyAlignment="1">
      <alignment horizontal="right" vertical="center"/>
    </xf>
    <xf numFmtId="4" fontId="53" fillId="0" borderId="1" xfId="0" applyNumberFormat="1" applyFont="1" applyFill="1" applyBorder="1" applyAlignment="1">
      <alignment horizontal="right" vertical="center"/>
    </xf>
    <xf numFmtId="4" fontId="29" fillId="2" borderId="10" xfId="0" applyNumberFormat="1" applyFont="1" applyFill="1" applyBorder="1" applyAlignment="1">
      <alignment horizontal="right" vertical="center"/>
    </xf>
    <xf numFmtId="4" fontId="29" fillId="2" borderId="10" xfId="0" applyNumberFormat="1" applyFont="1" applyFill="1" applyBorder="1" applyAlignment="1">
      <alignment horizontal="right" vertical="center" wrapText="1"/>
    </xf>
    <xf numFmtId="0" fontId="62" fillId="2" borderId="1" xfId="5" applyFont="1" applyFill="1" applyBorder="1" applyAlignment="1">
      <alignment horizontal="center" vertical="center"/>
    </xf>
    <xf numFmtId="4" fontId="62" fillId="2" borderId="1" xfId="5" applyNumberFormat="1" applyFont="1" applyFill="1" applyBorder="1" applyAlignment="1">
      <alignment horizontal="right" vertical="center" wrapText="1"/>
    </xf>
    <xf numFmtId="4" fontId="61" fillId="0" borderId="0" xfId="5" applyNumberFormat="1" applyFill="1" applyAlignment="1">
      <alignment horizontal="center"/>
    </xf>
    <xf numFmtId="4" fontId="34" fillId="0" borderId="0" xfId="0" applyNumberFormat="1" applyFont="1" applyAlignment="1">
      <alignment horizontal="center"/>
    </xf>
    <xf numFmtId="4" fontId="50" fillId="0" borderId="0" xfId="164" applyNumberFormat="1" applyFont="1" applyFill="1" applyBorder="1" applyAlignment="1">
      <alignment horizontal="center"/>
    </xf>
    <xf numFmtId="4" fontId="50" fillId="0" borderId="0" xfId="164" applyNumberFormat="1" applyFont="1" applyAlignment="1">
      <alignment horizontal="center"/>
    </xf>
    <xf numFmtId="0" fontId="50" fillId="0" borderId="3" xfId="164" applyNumberFormat="1" applyFont="1" applyFill="1" applyBorder="1" applyAlignment="1">
      <alignment horizontal="center"/>
    </xf>
    <xf numFmtId="0" fontId="50" fillId="0" borderId="15" xfId="164" applyNumberFormat="1" applyFont="1" applyFill="1" applyBorder="1" applyAlignment="1">
      <alignment horizontal="center" vertical="top" wrapText="1"/>
    </xf>
    <xf numFmtId="4" fontId="50" fillId="2" borderId="13" xfId="164" applyNumberFormat="1" applyFont="1" applyFill="1" applyBorder="1" applyAlignment="1">
      <alignment horizontal="right"/>
    </xf>
    <xf numFmtId="4" fontId="50" fillId="0" borderId="7" xfId="164" applyNumberFormat="1" applyFont="1" applyFill="1" applyBorder="1" applyAlignment="1">
      <alignment horizontal="right"/>
    </xf>
    <xf numFmtId="4" fontId="50" fillId="9" borderId="7" xfId="164" applyNumberFormat="1" applyFont="1" applyFill="1" applyBorder="1" applyAlignment="1">
      <alignment horizontal="right"/>
    </xf>
    <xf numFmtId="4" fontId="50" fillId="8" borderId="7" xfId="164" applyNumberFormat="1" applyFont="1" applyFill="1" applyBorder="1" applyAlignment="1">
      <alignment horizontal="right"/>
    </xf>
    <xf numFmtId="4" fontId="50" fillId="0" borderId="3" xfId="164" applyNumberFormat="1" applyFont="1" applyFill="1" applyBorder="1" applyAlignment="1">
      <alignment horizontal="right"/>
    </xf>
    <xf numFmtId="4" fontId="50" fillId="0" borderId="15" xfId="164" applyNumberFormat="1" applyFont="1" applyFill="1" applyBorder="1" applyAlignment="1">
      <alignment horizontal="right"/>
    </xf>
    <xf numFmtId="4" fontId="50" fillId="8" borderId="15" xfId="164" applyNumberFormat="1" applyFont="1" applyFill="1" applyBorder="1" applyAlignment="1">
      <alignment horizontal="right"/>
    </xf>
    <xf numFmtId="4" fontId="50" fillId="0" borderId="7" xfId="164" applyNumberFormat="1" applyFont="1" applyFill="1" applyBorder="1" applyAlignment="1">
      <alignment horizontal="right" wrapText="1"/>
    </xf>
    <xf numFmtId="4" fontId="50" fillId="6" borderId="7" xfId="164" applyNumberFormat="1" applyFont="1" applyFill="1" applyBorder="1" applyAlignment="1">
      <alignment horizontal="right"/>
    </xf>
    <xf numFmtId="4" fontId="50" fillId="0" borderId="17" xfId="164" applyNumberFormat="1" applyFont="1" applyFill="1" applyBorder="1" applyAlignment="1">
      <alignment horizontal="right"/>
    </xf>
    <xf numFmtId="4" fontId="50" fillId="0" borderId="13" xfId="164" applyNumberFormat="1" applyFont="1" applyFill="1" applyBorder="1" applyAlignment="1">
      <alignment horizontal="right"/>
    </xf>
    <xf numFmtId="4" fontId="50" fillId="0" borderId="22" xfId="164" applyNumberFormat="1" applyFont="1" applyFill="1" applyBorder="1" applyAlignment="1">
      <alignment horizontal="right" wrapText="1"/>
    </xf>
    <xf numFmtId="0" fontId="34" fillId="0" borderId="0" xfId="0" applyFont="1" applyAlignment="1">
      <alignment horizontal="center" vertical="center"/>
    </xf>
    <xf numFmtId="4" fontId="50" fillId="0" borderId="1" xfId="164" applyNumberFormat="1" applyFont="1" applyFill="1" applyBorder="1" applyAlignment="1">
      <alignment horizontal="right"/>
    </xf>
    <xf numFmtId="4" fontId="50" fillId="0" borderId="10" xfId="164" applyNumberFormat="1" applyFont="1" applyFill="1" applyBorder="1" applyAlignment="1">
      <alignment horizontal="right"/>
    </xf>
    <xf numFmtId="4" fontId="50" fillId="0" borderId="8" xfId="164" applyNumberFormat="1" applyFont="1" applyFill="1" applyBorder="1" applyAlignment="1">
      <alignment horizontal="right"/>
    </xf>
    <xf numFmtId="4" fontId="50" fillId="8" borderId="1" xfId="164" applyNumberFormat="1" applyFont="1" applyFill="1" applyBorder="1" applyAlignment="1">
      <alignment horizontal="right"/>
    </xf>
    <xf numFmtId="4" fontId="50" fillId="8" borderId="8" xfId="164" applyNumberFormat="1" applyFont="1" applyFill="1" applyBorder="1" applyAlignment="1">
      <alignment horizontal="right"/>
    </xf>
    <xf numFmtId="4" fontId="50" fillId="0" borderId="1" xfId="164" applyNumberFormat="1" applyFont="1" applyFill="1" applyBorder="1" applyAlignment="1">
      <alignment horizontal="right" wrapText="1"/>
    </xf>
    <xf numFmtId="4" fontId="50" fillId="9" borderId="1" xfId="164" applyNumberFormat="1" applyFont="1" applyFill="1" applyBorder="1" applyAlignment="1">
      <alignment horizontal="right"/>
    </xf>
    <xf numFmtId="4" fontId="50" fillId="6" borderId="1" xfId="164" applyNumberFormat="1" applyFont="1" applyFill="1" applyBorder="1" applyAlignment="1">
      <alignment horizontal="right"/>
    </xf>
    <xf numFmtId="4" fontId="50" fillId="0" borderId="22" xfId="164" applyNumberFormat="1" applyFont="1" applyFill="1" applyBorder="1" applyAlignment="1">
      <alignment horizontal="right"/>
    </xf>
    <xf numFmtId="4" fontId="50" fillId="0" borderId="28" xfId="164" applyNumberFormat="1" applyFont="1" applyFill="1" applyBorder="1" applyAlignment="1">
      <alignment horizontal="right"/>
    </xf>
    <xf numFmtId="4" fontId="62" fillId="0" borderId="0" xfId="5" applyNumberFormat="1" applyFont="1"/>
    <xf numFmtId="4" fontId="50" fillId="2" borderId="1" xfId="5" applyNumberFormat="1" applyFont="1" applyFill="1" applyBorder="1" applyAlignment="1">
      <alignment vertical="center" wrapText="1"/>
    </xf>
    <xf numFmtId="0" fontId="50" fillId="2" borderId="0" xfId="5" applyFont="1" applyFill="1"/>
    <xf numFmtId="0" fontId="47" fillId="2" borderId="0" xfId="5" applyFont="1" applyFill="1"/>
    <xf numFmtId="0" fontId="47" fillId="2" borderId="1" xfId="5" applyFont="1" applyFill="1" applyBorder="1" applyAlignment="1">
      <alignment horizontal="center" vertical="center" wrapText="1"/>
    </xf>
    <xf numFmtId="4" fontId="47" fillId="2" borderId="1" xfId="5" applyNumberFormat="1" applyFont="1" applyFill="1" applyBorder="1" applyAlignment="1">
      <alignment horizontal="center" vertical="center" wrapText="1"/>
    </xf>
    <xf numFmtId="4" fontId="47" fillId="2" borderId="1" xfId="5" applyNumberFormat="1" applyFont="1" applyFill="1" applyBorder="1" applyAlignment="1">
      <alignment vertical="center" wrapText="1"/>
    </xf>
    <xf numFmtId="4" fontId="46" fillId="2" borderId="1" xfId="5" applyNumberFormat="1" applyFont="1" applyFill="1" applyBorder="1" applyAlignment="1">
      <alignment horizontal="center" vertical="center" wrapText="1"/>
    </xf>
    <xf numFmtId="0" fontId="62" fillId="0" borderId="1" xfId="0" applyFont="1" applyBorder="1" applyAlignment="1">
      <alignment horizontal="center" vertical="center" wrapText="1"/>
    </xf>
    <xf numFmtId="0" fontId="62" fillId="0" borderId="1" xfId="5" applyFont="1" applyFill="1" applyBorder="1" applyAlignment="1">
      <alignment horizontal="center" vertical="center" wrapText="1"/>
    </xf>
    <xf numFmtId="4" fontId="62" fillId="0" borderId="1" xfId="5" applyNumberFormat="1" applyFont="1" applyFill="1" applyBorder="1" applyAlignment="1">
      <alignment horizontal="center" vertical="center" wrapText="1"/>
    </xf>
    <xf numFmtId="0" fontId="62" fillId="0" borderId="1" xfId="5" applyFont="1" applyFill="1" applyBorder="1" applyAlignment="1">
      <alignment horizontal="center" vertical="center"/>
    </xf>
    <xf numFmtId="0" fontId="62" fillId="0" borderId="1" xfId="5" applyFont="1" applyFill="1" applyBorder="1" applyAlignment="1">
      <alignment horizontal="center" vertical="center" wrapText="1"/>
    </xf>
    <xf numFmtId="4" fontId="62" fillId="0" borderId="1" xfId="5" applyNumberFormat="1" applyFont="1" applyFill="1" applyBorder="1" applyAlignment="1">
      <alignment horizontal="center" vertical="center" wrapText="1"/>
    </xf>
    <xf numFmtId="0" fontId="62" fillId="0" borderId="1" xfId="5" applyFont="1" applyFill="1" applyBorder="1"/>
    <xf numFmtId="49" fontId="62" fillId="7" borderId="1" xfId="5" applyNumberFormat="1" applyFont="1" applyFill="1" applyBorder="1"/>
    <xf numFmtId="4" fontId="63" fillId="7" borderId="1" xfId="5" applyNumberFormat="1" applyFont="1" applyFill="1" applyBorder="1"/>
    <xf numFmtId="0" fontId="62" fillId="7" borderId="1" xfId="5" applyFont="1" applyFill="1" applyBorder="1"/>
    <xf numFmtId="0" fontId="68" fillId="0" borderId="0" xfId="5" applyFont="1" applyFill="1"/>
    <xf numFmtId="0" fontId="75" fillId="0" borderId="0" xfId="5" applyFont="1" applyFill="1" applyAlignment="1">
      <alignment horizontal="center" wrapText="1"/>
    </xf>
    <xf numFmtId="0" fontId="83" fillId="0" borderId="0" xfId="0" applyFont="1" applyFill="1" applyAlignment="1">
      <alignment horizontal="justify" vertical="center"/>
    </xf>
    <xf numFmtId="4" fontId="62" fillId="0" borderId="0" xfId="5" applyNumberFormat="1" applyFont="1" applyFill="1" applyBorder="1" applyAlignment="1">
      <alignment horizontal="center"/>
    </xf>
    <xf numFmtId="4" fontId="62" fillId="0" borderId="0" xfId="5" applyNumberFormat="1" applyFont="1" applyFill="1" applyBorder="1" applyAlignment="1">
      <alignment vertical="center" wrapText="1"/>
    </xf>
    <xf numFmtId="0" fontId="29" fillId="0" borderId="0" xfId="0" applyFont="1" applyFill="1" applyBorder="1" applyAlignment="1">
      <alignment vertical="center" wrapText="1"/>
    </xf>
    <xf numFmtId="0" fontId="63" fillId="7" borderId="1" xfId="5" applyFont="1" applyFill="1" applyBorder="1"/>
    <xf numFmtId="0" fontId="62" fillId="2" borderId="1" xfId="5" applyFont="1" applyFill="1" applyBorder="1" applyAlignment="1">
      <alignment horizontal="center" vertical="center" wrapText="1"/>
    </xf>
    <xf numFmtId="0" fontId="63" fillId="2" borderId="1" xfId="5" applyFont="1" applyFill="1" applyBorder="1" applyAlignment="1">
      <alignment horizontal="center"/>
    </xf>
    <xf numFmtId="49" fontId="63" fillId="2" borderId="1" xfId="5" applyNumberFormat="1" applyFont="1" applyFill="1" applyBorder="1" applyAlignment="1">
      <alignment horizontal="center"/>
    </xf>
    <xf numFmtId="4" fontId="68" fillId="0" borderId="0" xfId="5" applyNumberFormat="1" applyFont="1" applyFill="1" applyAlignment="1">
      <alignment horizontal="center"/>
    </xf>
    <xf numFmtId="0" fontId="50" fillId="0" borderId="0" xfId="5" applyFont="1" applyFill="1" applyBorder="1" applyAlignment="1">
      <alignment horizontal="center" wrapText="1"/>
    </xf>
    <xf numFmtId="14" fontId="50" fillId="0" borderId="0" xfId="5" applyNumberFormat="1" applyFont="1" applyFill="1" applyBorder="1" applyAlignment="1">
      <alignment horizontal="center" wrapText="1"/>
    </xf>
    <xf numFmtId="0" fontId="29" fillId="0" borderId="16" xfId="0" applyFont="1" applyFill="1" applyBorder="1" applyAlignment="1">
      <alignment horizontal="center" vertical="center"/>
    </xf>
    <xf numFmtId="4" fontId="29" fillId="0" borderId="1" xfId="0" applyNumberFormat="1" applyFont="1" applyFill="1" applyBorder="1" applyAlignment="1">
      <alignment horizontal="right" vertical="center"/>
    </xf>
    <xf numFmtId="4" fontId="28" fillId="0" borderId="39" xfId="0" applyNumberFormat="1" applyFont="1" applyFill="1" applyBorder="1" applyAlignment="1">
      <alignment horizontal="right" vertical="center" wrapText="1"/>
    </xf>
    <xf numFmtId="0" fontId="29" fillId="0" borderId="14" xfId="0" applyFont="1" applyFill="1" applyBorder="1" applyAlignment="1">
      <alignment horizontal="center" vertical="center"/>
    </xf>
    <xf numFmtId="4" fontId="50" fillId="2" borderId="15" xfId="164" applyNumberFormat="1" applyFont="1" applyFill="1" applyBorder="1" applyAlignment="1">
      <alignment horizontal="right"/>
    </xf>
    <xf numFmtId="4" fontId="54" fillId="8" borderId="1" xfId="164" applyNumberFormat="1" applyFont="1" applyFill="1" applyBorder="1" applyAlignment="1">
      <alignment horizontal="right"/>
    </xf>
    <xf numFmtId="4" fontId="54" fillId="0" borderId="1" xfId="164" applyNumberFormat="1" applyFont="1" applyFill="1" applyBorder="1" applyAlignment="1">
      <alignment horizontal="right"/>
    </xf>
    <xf numFmtId="4" fontId="54" fillId="2" borderId="1" xfId="164" applyNumberFormat="1" applyFont="1" applyFill="1" applyBorder="1" applyAlignment="1">
      <alignment horizontal="right"/>
    </xf>
    <xf numFmtId="4" fontId="50" fillId="2" borderId="8" xfId="164" applyNumberFormat="1" applyFont="1" applyFill="1" applyBorder="1" applyAlignment="1">
      <alignment horizontal="right"/>
    </xf>
    <xf numFmtId="0" fontId="54" fillId="2" borderId="19" xfId="164" applyNumberFormat="1" applyFont="1" applyFill="1" applyBorder="1" applyAlignment="1">
      <alignment horizontal="left" wrapText="1" indent="1"/>
    </xf>
    <xf numFmtId="0" fontId="54" fillId="2" borderId="18" xfId="164" applyNumberFormat="1" applyFont="1" applyFill="1" applyBorder="1" applyAlignment="1">
      <alignment horizontal="left" wrapText="1" indent="3"/>
    </xf>
    <xf numFmtId="49" fontId="54" fillId="2" borderId="18" xfId="164" applyNumberFormat="1" applyFont="1" applyFill="1" applyBorder="1" applyAlignment="1">
      <alignment horizontal="center"/>
    </xf>
    <xf numFmtId="0" fontId="49" fillId="2" borderId="0" xfId="292" applyFont="1" applyFill="1" applyAlignment="1">
      <alignment horizontal="center" vertical="center"/>
    </xf>
    <xf numFmtId="0" fontId="54" fillId="0" borderId="19" xfId="164" applyNumberFormat="1" applyFont="1" applyFill="1" applyBorder="1" applyAlignment="1">
      <alignment wrapText="1"/>
    </xf>
    <xf numFmtId="0" fontId="85" fillId="0" borderId="0" xfId="164" applyFont="1" applyFill="1"/>
    <xf numFmtId="4" fontId="53" fillId="0" borderId="7" xfId="0" applyNumberFormat="1" applyFont="1" applyFill="1" applyBorder="1" applyAlignment="1">
      <alignment horizontal="right" vertical="center"/>
    </xf>
    <xf numFmtId="0" fontId="50" fillId="2" borderId="1" xfId="5" applyFont="1" applyFill="1" applyBorder="1" applyAlignment="1">
      <alignment horizontal="center" vertical="center" wrapText="1"/>
    </xf>
    <xf numFmtId="4" fontId="29" fillId="11" borderId="1" xfId="0" applyNumberFormat="1" applyFont="1" applyFill="1" applyBorder="1" applyAlignment="1">
      <alignment horizontal="right" vertical="center" wrapText="1"/>
    </xf>
    <xf numFmtId="4" fontId="29" fillId="3" borderId="10" xfId="0" applyNumberFormat="1" applyFont="1" applyFill="1" applyBorder="1" applyAlignment="1">
      <alignment horizontal="right" vertical="center" wrapText="1"/>
    </xf>
    <xf numFmtId="4" fontId="53" fillId="3" borderId="3" xfId="0" applyNumberFormat="1" applyFont="1" applyFill="1" applyBorder="1" applyAlignment="1">
      <alignment horizontal="right" vertical="center" wrapText="1"/>
    </xf>
    <xf numFmtId="4" fontId="53" fillId="3" borderId="10" xfId="0" applyNumberFormat="1" applyFont="1" applyFill="1" applyBorder="1" applyAlignment="1">
      <alignment horizontal="right" vertical="center" wrapText="1"/>
    </xf>
    <xf numFmtId="4" fontId="95" fillId="3" borderId="8" xfId="0" applyNumberFormat="1" applyFont="1" applyFill="1" applyBorder="1" applyAlignment="1">
      <alignment horizontal="right" vertical="center" wrapText="1"/>
    </xf>
    <xf numFmtId="4" fontId="95" fillId="3" borderId="1" xfId="0" applyNumberFormat="1" applyFont="1" applyFill="1" applyBorder="1" applyAlignment="1">
      <alignment horizontal="right" vertical="center" wrapText="1"/>
    </xf>
    <xf numFmtId="4" fontId="53" fillId="3" borderId="15" xfId="0" applyNumberFormat="1" applyFont="1" applyFill="1" applyBorder="1" applyAlignment="1">
      <alignment horizontal="right" vertical="center" wrapText="1"/>
    </xf>
    <xf numFmtId="4" fontId="29" fillId="3" borderId="8" xfId="0" applyNumberFormat="1" applyFont="1" applyFill="1" applyBorder="1" applyAlignment="1">
      <alignment horizontal="right" vertical="center" wrapText="1"/>
    </xf>
    <xf numFmtId="4" fontId="53" fillId="3" borderId="8" xfId="0" applyNumberFormat="1" applyFont="1" applyFill="1" applyBorder="1" applyAlignment="1">
      <alignment horizontal="right" vertical="center" wrapText="1"/>
    </xf>
    <xf numFmtId="4" fontId="53" fillId="3" borderId="1" xfId="0" applyNumberFormat="1" applyFont="1" applyFill="1" applyBorder="1" applyAlignment="1">
      <alignment horizontal="right" vertical="center" wrapText="1"/>
    </xf>
    <xf numFmtId="0" fontId="29" fillId="0" borderId="1" xfId="0" applyFont="1" applyFill="1" applyBorder="1" applyAlignment="1">
      <alignment horizontal="left" vertical="center" wrapText="1"/>
    </xf>
    <xf numFmtId="4" fontId="95" fillId="0" borderId="1" xfId="0" applyNumberFormat="1" applyFont="1" applyFill="1" applyBorder="1" applyAlignment="1">
      <alignment horizontal="right" vertical="center" wrapText="1"/>
    </xf>
    <xf numFmtId="0" fontId="70" fillId="0" borderId="1" xfId="0" applyFont="1" applyFill="1" applyBorder="1" applyAlignment="1">
      <alignment horizontal="center" vertical="center"/>
    </xf>
    <xf numFmtId="0" fontId="70" fillId="0" borderId="1" xfId="0" applyFont="1" applyFill="1" applyBorder="1" applyAlignment="1">
      <alignment vertical="center" wrapText="1"/>
    </xf>
    <xf numFmtId="0" fontId="70" fillId="0" borderId="1" xfId="0" applyFont="1" applyFill="1" applyBorder="1" applyAlignment="1">
      <alignment horizontal="center" vertical="center" wrapText="1"/>
    </xf>
    <xf numFmtId="4" fontId="70" fillId="0" borderId="1" xfId="0" applyNumberFormat="1" applyFont="1" applyFill="1" applyBorder="1" applyAlignment="1">
      <alignment horizontal="right" vertical="center" wrapText="1"/>
    </xf>
    <xf numFmtId="4" fontId="53" fillId="0" borderId="1" xfId="0" applyNumberFormat="1" applyFont="1" applyFill="1" applyBorder="1" applyAlignment="1">
      <alignment horizontal="center" vertical="center"/>
    </xf>
    <xf numFmtId="4" fontId="70" fillId="0" borderId="1" xfId="0" applyNumberFormat="1" applyFont="1" applyFill="1" applyBorder="1" applyAlignment="1">
      <alignment horizontal="center" vertical="center" wrapText="1"/>
    </xf>
    <xf numFmtId="0" fontId="49" fillId="2" borderId="0" xfId="5" applyFont="1" applyFill="1" applyAlignment="1">
      <alignment horizontal="left" vertical="center"/>
    </xf>
    <xf numFmtId="0" fontId="49" fillId="0" borderId="0" xfId="5" applyFont="1" applyFill="1" applyAlignment="1">
      <alignment horizontal="left" vertical="center"/>
    </xf>
    <xf numFmtId="0" fontId="50" fillId="0" borderId="1" xfId="5" applyFont="1" applyFill="1" applyBorder="1" applyAlignment="1">
      <alignment vertical="center" wrapText="1"/>
    </xf>
    <xf numFmtId="0" fontId="49" fillId="8" borderId="1" xfId="5" applyFont="1" applyFill="1" applyBorder="1" applyAlignment="1">
      <alignment vertical="center" wrapText="1"/>
    </xf>
    <xf numFmtId="0" fontId="49" fillId="0" borderId="0" xfId="5" applyFont="1" applyFill="1"/>
    <xf numFmtId="0" fontId="49" fillId="2" borderId="1" xfId="5" applyFont="1" applyFill="1" applyBorder="1" applyAlignment="1">
      <alignment vertical="center" wrapText="1"/>
    </xf>
    <xf numFmtId="0" fontId="49" fillId="6" borderId="1" xfId="5" applyFont="1" applyFill="1" applyBorder="1" applyAlignment="1">
      <alignment vertical="center" wrapText="1"/>
    </xf>
    <xf numFmtId="0" fontId="50" fillId="0" borderId="1" xfId="5" applyFont="1" applyBorder="1" applyAlignment="1">
      <alignment vertical="center" wrapText="1"/>
    </xf>
    <xf numFmtId="0" fontId="49" fillId="0" borderId="1" xfId="5" applyFont="1" applyBorder="1" applyAlignment="1">
      <alignment vertical="center" wrapText="1"/>
    </xf>
    <xf numFmtId="0" fontId="96" fillId="0" borderId="1" xfId="5" applyFont="1" applyBorder="1" applyAlignment="1">
      <alignment vertical="center" wrapText="1"/>
    </xf>
    <xf numFmtId="0" fontId="49" fillId="0" borderId="1" xfId="5" applyFont="1" applyFill="1" applyBorder="1" applyAlignment="1">
      <alignment horizontal="center"/>
    </xf>
    <xf numFmtId="0" fontId="49" fillId="0" borderId="0" xfId="5" applyFont="1" applyFill="1" applyAlignment="1">
      <alignment horizontal="center" vertical="center"/>
    </xf>
    <xf numFmtId="0" fontId="50" fillId="0" borderId="0" xfId="5" applyFont="1" applyFill="1" applyAlignment="1">
      <alignment horizontal="center"/>
    </xf>
    <xf numFmtId="4" fontId="28" fillId="5" borderId="1" xfId="0" applyNumberFormat="1" applyFont="1" applyFill="1" applyBorder="1" applyAlignment="1">
      <alignment horizontal="right" vertical="center"/>
    </xf>
    <xf numFmtId="0" fontId="28" fillId="0" borderId="0" xfId="0" applyFont="1" applyFill="1" applyAlignment="1">
      <alignment horizontal="center" vertical="center"/>
    </xf>
    <xf numFmtId="0" fontId="28" fillId="0" borderId="0" xfId="0" applyFont="1" applyFill="1" applyAlignment="1">
      <alignment horizontal="center" vertical="center" wrapText="1"/>
    </xf>
    <xf numFmtId="4" fontId="28" fillId="0" borderId="0" xfId="0" applyNumberFormat="1" applyFont="1" applyFill="1" applyAlignment="1">
      <alignment horizontal="right" vertical="center" wrapText="1"/>
    </xf>
    <xf numFmtId="4" fontId="28" fillId="0" borderId="0" xfId="0" applyNumberFormat="1" applyFont="1" applyFill="1" applyAlignment="1">
      <alignment horizontal="right" vertical="center"/>
    </xf>
    <xf numFmtId="4" fontId="28" fillId="0" borderId="0" xfId="0" applyNumberFormat="1" applyFont="1" applyFill="1" applyAlignment="1">
      <alignment horizontal="center" vertical="center"/>
    </xf>
    <xf numFmtId="4" fontId="29" fillId="0" borderId="0" xfId="0" applyNumberFormat="1" applyFont="1" applyFill="1"/>
    <xf numFmtId="0" fontId="29" fillId="0" borderId="0" xfId="0" applyFont="1" applyFill="1"/>
    <xf numFmtId="4" fontId="29" fillId="0" borderId="0" xfId="0" applyNumberFormat="1" applyFont="1" applyFill="1" applyBorder="1" applyAlignment="1">
      <alignment horizontal="right" vertical="center"/>
    </xf>
    <xf numFmtId="4" fontId="29" fillId="5" borderId="12" xfId="0" applyNumberFormat="1" applyFont="1" applyFill="1" applyBorder="1" applyAlignment="1">
      <alignment horizontal="right" vertical="center" wrapText="1"/>
    </xf>
    <xf numFmtId="4" fontId="29" fillId="0" borderId="38" xfId="0" applyNumberFormat="1" applyFont="1" applyFill="1" applyBorder="1" applyAlignment="1">
      <alignment horizontal="right" vertical="center"/>
    </xf>
    <xf numFmtId="4" fontId="28" fillId="2" borderId="0" xfId="0" applyNumberFormat="1" applyFont="1" applyFill="1"/>
    <xf numFmtId="0" fontId="28" fillId="2" borderId="0" xfId="0" applyFont="1" applyFill="1"/>
    <xf numFmtId="0" fontId="28" fillId="0" borderId="0" xfId="0" applyFont="1" applyAlignment="1">
      <alignment horizontal="center" vertical="center"/>
    </xf>
    <xf numFmtId="0" fontId="28" fillId="0" borderId="0" xfId="0" applyFont="1" applyAlignment="1">
      <alignment vertical="center" wrapText="1"/>
    </xf>
    <xf numFmtId="0" fontId="28" fillId="0" borderId="0" xfId="0" applyFont="1" applyAlignment="1">
      <alignment horizontal="center" vertical="center" wrapText="1"/>
    </xf>
    <xf numFmtId="4" fontId="28" fillId="0" borderId="0" xfId="0" applyNumberFormat="1" applyFont="1" applyAlignment="1">
      <alignment horizontal="right" vertical="center" wrapText="1"/>
    </xf>
    <xf numFmtId="4" fontId="28" fillId="0" borderId="0" xfId="0" applyNumberFormat="1" applyFont="1" applyAlignment="1">
      <alignment horizontal="right" vertical="center"/>
    </xf>
    <xf numFmtId="4" fontId="28" fillId="0" borderId="0" xfId="0" applyNumberFormat="1" applyFont="1" applyAlignment="1">
      <alignment horizontal="center" vertical="center"/>
    </xf>
    <xf numFmtId="0" fontId="29" fillId="0" borderId="9" xfId="0" applyFont="1" applyFill="1" applyBorder="1" applyAlignment="1">
      <alignment horizontal="center" vertical="center"/>
    </xf>
    <xf numFmtId="0" fontId="29" fillId="0" borderId="0" xfId="0" applyFont="1" applyFill="1" applyBorder="1" applyAlignment="1">
      <alignment horizontal="center" vertical="center"/>
    </xf>
    <xf numFmtId="4" fontId="50" fillId="0" borderId="0" xfId="5" applyNumberFormat="1" applyFont="1" applyFill="1"/>
    <xf numFmtId="4" fontId="49" fillId="0" borderId="0" xfId="5" applyNumberFormat="1" applyFont="1" applyFill="1" applyAlignment="1">
      <alignment horizontal="left" vertical="center"/>
    </xf>
    <xf numFmtId="4" fontId="29" fillId="11" borderId="8" xfId="0" applyNumberFormat="1" applyFont="1" applyFill="1" applyBorder="1" applyAlignment="1">
      <alignment horizontal="right" vertical="center" wrapText="1"/>
    </xf>
    <xf numFmtId="4" fontId="29" fillId="11" borderId="15" xfId="0" applyNumberFormat="1" applyFont="1" applyFill="1" applyBorder="1" applyAlignment="1">
      <alignment horizontal="right" vertical="center" wrapText="1"/>
    </xf>
    <xf numFmtId="4" fontId="29" fillId="0" borderId="3" xfId="0" applyNumberFormat="1" applyFont="1" applyFill="1" applyBorder="1" applyAlignment="1">
      <alignment horizontal="right" vertical="center"/>
    </xf>
    <xf numFmtId="4" fontId="70" fillId="0" borderId="10" xfId="0" applyNumberFormat="1" applyFont="1" applyFill="1" applyBorder="1" applyAlignment="1">
      <alignment horizontal="right" vertical="center"/>
    </xf>
    <xf numFmtId="0" fontId="62" fillId="2" borderId="1" xfId="0" applyFont="1" applyFill="1" applyBorder="1" applyAlignment="1">
      <alignment horizontal="center" vertical="center"/>
    </xf>
    <xf numFmtId="0" fontId="77" fillId="2" borderId="0" xfId="5" applyFont="1" applyFill="1" applyBorder="1" applyAlignment="1">
      <alignment vertical="center" wrapText="1"/>
    </xf>
    <xf numFmtId="0" fontId="77" fillId="2" borderId="0" xfId="0" applyFont="1" applyFill="1" applyBorder="1" applyAlignment="1">
      <alignment vertical="center" wrapText="1"/>
    </xf>
    <xf numFmtId="4" fontId="28" fillId="0" borderId="0" xfId="0" applyNumberFormat="1" applyFont="1" applyAlignment="1">
      <alignment horizontal="center" vertical="center" wrapText="1"/>
    </xf>
    <xf numFmtId="4" fontId="66" fillId="0" borderId="8" xfId="0" applyNumberFormat="1" applyFont="1" applyFill="1" applyBorder="1" applyAlignment="1">
      <alignment horizontal="right" vertical="center"/>
    </xf>
    <xf numFmtId="4" fontId="28" fillId="0" borderId="38" xfId="0" applyNumberFormat="1" applyFont="1" applyFill="1" applyBorder="1" applyAlignment="1">
      <alignment horizontal="right" vertical="center"/>
    </xf>
    <xf numFmtId="4" fontId="28" fillId="0" borderId="15" xfId="0" applyNumberFormat="1" applyFont="1" applyFill="1" applyBorder="1" applyAlignment="1">
      <alignment horizontal="right" vertical="center"/>
    </xf>
    <xf numFmtId="4" fontId="28" fillId="0" borderId="0" xfId="0" applyNumberFormat="1" applyFont="1" applyFill="1" applyAlignment="1">
      <alignment wrapText="1"/>
    </xf>
    <xf numFmtId="4" fontId="28" fillId="0" borderId="0" xfId="0" applyNumberFormat="1" applyFont="1" applyFill="1" applyBorder="1"/>
    <xf numFmtId="4" fontId="50" fillId="0" borderId="0" xfId="0" applyNumberFormat="1" applyFont="1" applyAlignment="1">
      <alignment horizontal="center" vertical="center"/>
    </xf>
    <xf numFmtId="4" fontId="28" fillId="0" borderId="38" xfId="0" applyNumberFormat="1" applyFont="1" applyFill="1" applyBorder="1" applyAlignment="1">
      <alignment horizontal="right" vertical="center" wrapText="1"/>
    </xf>
    <xf numFmtId="4" fontId="28" fillId="0" borderId="39" xfId="0" applyNumberFormat="1" applyFont="1" applyFill="1" applyBorder="1" applyAlignment="1">
      <alignment horizontal="right" vertical="center"/>
    </xf>
    <xf numFmtId="0" fontId="28" fillId="0" borderId="39" xfId="0" applyFont="1" applyFill="1" applyBorder="1" applyAlignment="1">
      <alignment horizontal="center" vertical="center"/>
    </xf>
    <xf numFmtId="0" fontId="28" fillId="0" borderId="15" xfId="0" applyFont="1" applyFill="1" applyBorder="1" applyAlignment="1">
      <alignment vertical="center" wrapText="1"/>
    </xf>
    <xf numFmtId="4" fontId="28" fillId="0" borderId="14" xfId="0" applyNumberFormat="1" applyFont="1" applyFill="1" applyBorder="1" applyAlignment="1">
      <alignment horizontal="right" vertical="center" wrapText="1"/>
    </xf>
    <xf numFmtId="0" fontId="28" fillId="0" borderId="8" xfId="0" applyFont="1" applyFill="1" applyBorder="1" applyAlignment="1">
      <alignment horizontal="left" vertical="center" wrapText="1"/>
    </xf>
    <xf numFmtId="4" fontId="95" fillId="0" borderId="3" xfId="0" applyNumberFormat="1" applyFont="1" applyFill="1" applyBorder="1" applyAlignment="1">
      <alignment horizontal="right" vertical="center" wrapText="1"/>
    </xf>
    <xf numFmtId="4" fontId="53" fillId="0" borderId="16" xfId="0" applyNumberFormat="1" applyFont="1" applyFill="1" applyBorder="1" applyAlignment="1">
      <alignment horizontal="right" vertical="center" wrapText="1"/>
    </xf>
    <xf numFmtId="0" fontId="68" fillId="0" borderId="1" xfId="5" applyFont="1" applyBorder="1" applyAlignment="1">
      <alignment horizontal="center" vertical="center" wrapText="1"/>
    </xf>
    <xf numFmtId="4" fontId="28" fillId="0" borderId="0" xfId="0" applyNumberFormat="1" applyFont="1" applyAlignment="1">
      <alignment horizontal="left" vertical="top" wrapText="1"/>
    </xf>
    <xf numFmtId="0" fontId="92" fillId="0" borderId="0" xfId="0" applyFont="1" applyAlignment="1">
      <alignment horizontal="left" vertical="top" wrapText="1"/>
    </xf>
    <xf numFmtId="0" fontId="99" fillId="0" borderId="0" xfId="0" applyFont="1" applyAlignment="1">
      <alignment horizontal="left" vertical="top" wrapText="1"/>
    </xf>
    <xf numFmtId="4" fontId="28" fillId="0" borderId="0" xfId="0" applyNumberFormat="1" applyFont="1" applyFill="1" applyAlignment="1">
      <alignment horizontal="left" vertical="top" wrapText="1"/>
    </xf>
    <xf numFmtId="4" fontId="62" fillId="2" borderId="0" xfId="0" applyNumberFormat="1" applyFont="1" applyFill="1"/>
    <xf numFmtId="166" fontId="62" fillId="2" borderId="1" xfId="5" applyNumberFormat="1" applyFont="1" applyFill="1" applyBorder="1" applyAlignment="1">
      <alignment horizontal="center" vertical="center" wrapText="1"/>
    </xf>
    <xf numFmtId="4" fontId="29" fillId="0" borderId="39" xfId="0" applyNumberFormat="1" applyFont="1" applyFill="1" applyBorder="1" applyAlignment="1">
      <alignment horizontal="right" vertical="center"/>
    </xf>
    <xf numFmtId="4" fontId="29" fillId="0" borderId="7" xfId="0" applyNumberFormat="1" applyFont="1" applyFill="1" applyBorder="1" applyAlignment="1">
      <alignment horizontal="right" vertical="center"/>
    </xf>
    <xf numFmtId="0" fontId="28" fillId="0" borderId="0" xfId="0" applyFont="1" applyAlignment="1">
      <alignment horizontal="left" vertical="top"/>
    </xf>
    <xf numFmtId="0" fontId="28" fillId="0" borderId="0" xfId="0" applyFont="1" applyAlignment="1">
      <alignment horizontal="left" vertical="center"/>
    </xf>
    <xf numFmtId="49" fontId="62" fillId="0" borderId="1" xfId="5" applyNumberFormat="1" applyFont="1" applyFill="1" applyBorder="1" applyAlignment="1">
      <alignment horizontal="center" vertical="center" wrapText="1"/>
    </xf>
    <xf numFmtId="0" fontId="28" fillId="0" borderId="0" xfId="0" applyFont="1" applyAlignment="1">
      <alignment horizontal="left" vertical="center"/>
    </xf>
    <xf numFmtId="49" fontId="62" fillId="2" borderId="1" xfId="5" applyNumberFormat="1" applyFont="1" applyFill="1" applyBorder="1" applyAlignment="1">
      <alignment horizontal="center" vertical="center"/>
    </xf>
    <xf numFmtId="49" fontId="62" fillId="2" borderId="1" xfId="0" applyNumberFormat="1" applyFont="1" applyFill="1" applyBorder="1" applyAlignment="1">
      <alignment horizontal="center" vertical="center"/>
    </xf>
    <xf numFmtId="0" fontId="62" fillId="0" borderId="1" xfId="5" applyFont="1" applyFill="1" applyBorder="1" applyAlignment="1">
      <alignment horizontal="center" vertical="center"/>
    </xf>
    <xf numFmtId="0" fontId="28" fillId="0" borderId="0" xfId="0" applyFont="1" applyAlignment="1">
      <alignment horizontal="left" vertical="center"/>
    </xf>
    <xf numFmtId="0" fontId="68" fillId="0" borderId="1" xfId="5" applyFont="1" applyFill="1" applyBorder="1"/>
    <xf numFmtId="0" fontId="68" fillId="0" borderId="1" xfId="5" applyFont="1" applyFill="1" applyBorder="1" applyAlignment="1">
      <alignment horizontal="center" vertical="center"/>
    </xf>
    <xf numFmtId="0" fontId="73" fillId="0" borderId="1" xfId="5" applyFont="1" applyFill="1" applyBorder="1"/>
    <xf numFmtId="0" fontId="68" fillId="0" borderId="1" xfId="5" applyFont="1" applyFill="1" applyBorder="1" applyAlignment="1">
      <alignment horizontal="center"/>
    </xf>
    <xf numFmtId="4" fontId="73" fillId="0" borderId="1" xfId="5" applyNumberFormat="1" applyFont="1" applyFill="1" applyBorder="1" applyAlignment="1">
      <alignment horizontal="center"/>
    </xf>
    <xf numFmtId="4" fontId="68" fillId="0" borderId="1" xfId="5" applyNumberFormat="1" applyFont="1" applyFill="1" applyBorder="1" applyAlignment="1">
      <alignment horizontal="center"/>
    </xf>
    <xf numFmtId="0" fontId="28" fillId="0" borderId="8" xfId="0" applyFont="1" applyFill="1" applyBorder="1" applyAlignment="1">
      <alignment vertical="top" wrapText="1"/>
    </xf>
    <xf numFmtId="0" fontId="28" fillId="0" borderId="0" xfId="0" applyFont="1" applyAlignment="1">
      <alignment horizontal="left" vertical="center"/>
    </xf>
    <xf numFmtId="0" fontId="28" fillId="0" borderId="0" xfId="0" applyFont="1" applyAlignment="1">
      <alignment horizontal="left" vertical="top" wrapText="1"/>
    </xf>
    <xf numFmtId="4" fontId="28" fillId="0" borderId="0" xfId="0" applyNumberFormat="1" applyFont="1" applyAlignment="1">
      <alignment horizontal="left" vertical="top"/>
    </xf>
    <xf numFmtId="0" fontId="28" fillId="0" borderId="0" xfId="0" applyFont="1" applyAlignment="1">
      <alignment horizontal="left" vertical="center" wrapText="1"/>
    </xf>
    <xf numFmtId="0" fontId="28" fillId="0" borderId="0" xfId="0" applyFont="1" applyAlignment="1">
      <alignment horizontal="left" vertical="center"/>
    </xf>
    <xf numFmtId="4" fontId="28" fillId="0" borderId="0" xfId="0" applyNumberFormat="1" applyFont="1" applyFill="1" applyBorder="1" applyAlignment="1">
      <alignment wrapText="1"/>
    </xf>
    <xf numFmtId="0" fontId="28" fillId="0" borderId="0" xfId="0" applyFont="1" applyFill="1" applyBorder="1"/>
    <xf numFmtId="4" fontId="28" fillId="0" borderId="0" xfId="0" applyNumberFormat="1" applyFont="1" applyFill="1" applyBorder="1" applyAlignment="1">
      <alignment horizontal="left" vertical="top" wrapText="1"/>
    </xf>
    <xf numFmtId="4" fontId="28" fillId="0" borderId="0" xfId="0" applyNumberFormat="1" applyFont="1" applyBorder="1" applyAlignment="1">
      <alignment horizontal="left" vertical="top" wrapText="1"/>
    </xf>
    <xf numFmtId="0" fontId="99" fillId="0" borderId="0" xfId="0" applyFont="1" applyAlignment="1">
      <alignment horizontal="center" vertical="center"/>
    </xf>
    <xf numFmtId="4" fontId="28" fillId="0" borderId="0" xfId="0" applyNumberFormat="1" applyFont="1" applyBorder="1" applyAlignment="1">
      <alignment horizontal="center" vertical="center"/>
    </xf>
    <xf numFmtId="4" fontId="28" fillId="0" borderId="0" xfId="0" applyNumberFormat="1" applyFont="1" applyFill="1" applyAlignment="1">
      <alignment horizontal="center" vertical="center" wrapText="1"/>
    </xf>
    <xf numFmtId="4" fontId="28" fillId="0" borderId="47" xfId="0" applyNumberFormat="1" applyFont="1" applyFill="1" applyBorder="1" applyAlignment="1">
      <alignment horizontal="center" vertical="center" wrapText="1"/>
    </xf>
    <xf numFmtId="4" fontId="28" fillId="0" borderId="28" xfId="0" applyNumberFormat="1" applyFont="1" applyFill="1" applyBorder="1" applyAlignment="1">
      <alignment horizontal="center" vertical="center" wrapText="1"/>
    </xf>
    <xf numFmtId="4" fontId="28" fillId="0" borderId="1" xfId="0" applyNumberFormat="1" applyFont="1" applyFill="1" applyBorder="1" applyAlignment="1">
      <alignment horizontal="left" vertical="top" wrapText="1"/>
    </xf>
    <xf numFmtId="4" fontId="28" fillId="0" borderId="22" xfId="0" applyNumberFormat="1" applyFont="1" applyFill="1" applyBorder="1" applyAlignment="1">
      <alignment horizontal="left" vertical="top" wrapText="1"/>
    </xf>
    <xf numFmtId="4" fontId="28" fillId="0" borderId="36" xfId="0" applyNumberFormat="1" applyFont="1" applyFill="1" applyBorder="1" applyAlignment="1">
      <alignment horizontal="center" vertical="center"/>
    </xf>
    <xf numFmtId="4" fontId="28" fillId="0" borderId="1" xfId="0" applyNumberFormat="1" applyFont="1" applyFill="1" applyBorder="1" applyAlignment="1">
      <alignment horizontal="center" vertical="center"/>
    </xf>
    <xf numFmtId="4" fontId="28" fillId="0" borderId="40" xfId="0" applyNumberFormat="1" applyFont="1" applyFill="1" applyBorder="1" applyAlignment="1">
      <alignment horizontal="center" vertical="center"/>
    </xf>
    <xf numFmtId="4" fontId="28" fillId="0" borderId="22" xfId="0" applyNumberFormat="1" applyFont="1" applyFill="1" applyBorder="1" applyAlignment="1">
      <alignment horizontal="center" vertical="center"/>
    </xf>
    <xf numFmtId="4" fontId="0" fillId="0" borderId="0" xfId="0" applyNumberFormat="1" applyFill="1" applyBorder="1" applyAlignment="1">
      <alignment horizontal="center" vertical="center"/>
    </xf>
    <xf numFmtId="4" fontId="0" fillId="0" borderId="0" xfId="0" applyNumberFormat="1" applyFill="1" applyBorder="1" applyAlignment="1">
      <alignment horizontal="center" vertical="center" wrapText="1"/>
    </xf>
    <xf numFmtId="0" fontId="28" fillId="0" borderId="16" xfId="0" applyFont="1" applyFill="1" applyBorder="1" applyAlignment="1">
      <alignment horizontal="center" vertical="center" wrapText="1"/>
    </xf>
    <xf numFmtId="0" fontId="0" fillId="0" borderId="0" xfId="0" applyAlignment="1">
      <alignment horizontal="left" vertical="center"/>
    </xf>
    <xf numFmtId="4" fontId="0" fillId="0" borderId="0" xfId="0" applyNumberFormat="1" applyFill="1" applyBorder="1"/>
    <xf numFmtId="4" fontId="0" fillId="0" borderId="0" xfId="0" applyNumberFormat="1" applyBorder="1"/>
    <xf numFmtId="4" fontId="28" fillId="0" borderId="0" xfId="0" applyNumberFormat="1" applyFont="1" applyBorder="1"/>
    <xf numFmtId="4" fontId="0" fillId="0" borderId="28" xfId="0" applyNumberFormat="1" applyFill="1" applyBorder="1" applyAlignment="1">
      <alignment horizontal="center" vertical="center"/>
    </xf>
    <xf numFmtId="4" fontId="0" fillId="0" borderId="22" xfId="0" applyNumberFormat="1" applyFill="1" applyBorder="1" applyAlignment="1">
      <alignment horizontal="center" vertical="center"/>
    </xf>
    <xf numFmtId="4" fontId="0" fillId="0" borderId="0" xfId="0" applyNumberFormat="1" applyAlignment="1">
      <alignment horizontal="left" vertical="top" wrapText="1"/>
    </xf>
    <xf numFmtId="4" fontId="0" fillId="0" borderId="0" xfId="0" applyNumberFormat="1" applyFill="1" applyAlignment="1">
      <alignment horizontal="left" vertical="top" wrapText="1"/>
    </xf>
    <xf numFmtId="4" fontId="0" fillId="0" borderId="0" xfId="0" applyNumberFormat="1" applyFill="1" applyBorder="1" applyAlignment="1">
      <alignment horizontal="left" vertical="top"/>
    </xf>
    <xf numFmtId="4" fontId="0" fillId="0" borderId="28" xfId="0" applyNumberFormat="1" applyFill="1" applyBorder="1" applyAlignment="1">
      <alignment horizontal="left" vertical="top"/>
    </xf>
    <xf numFmtId="0" fontId="0" fillId="0" borderId="28" xfId="0" applyFill="1" applyBorder="1" applyAlignment="1">
      <alignment horizontal="left" vertical="top" wrapText="1"/>
    </xf>
    <xf numFmtId="4" fontId="0" fillId="0" borderId="0" xfId="0" applyNumberFormat="1" applyFill="1" applyBorder="1" applyAlignment="1">
      <alignment horizontal="left" vertical="top" wrapText="1"/>
    </xf>
    <xf numFmtId="4" fontId="0" fillId="0" borderId="0" xfId="0" applyNumberFormat="1" applyBorder="1" applyAlignment="1">
      <alignment horizontal="left" vertical="top" wrapText="1"/>
    </xf>
    <xf numFmtId="4" fontId="0" fillId="0" borderId="47" xfId="0" applyNumberFormat="1" applyFill="1" applyBorder="1" applyAlignment="1">
      <alignment horizontal="center" vertical="center"/>
    </xf>
    <xf numFmtId="4" fontId="0" fillId="0" borderId="0" xfId="0" applyNumberFormat="1" applyAlignment="1">
      <alignment horizontal="center" vertical="center"/>
    </xf>
    <xf numFmtId="4" fontId="66" fillId="0" borderId="36" xfId="0" applyNumberFormat="1" applyFont="1" applyFill="1" applyBorder="1" applyAlignment="1">
      <alignment horizontal="center" vertical="center"/>
    </xf>
    <xf numFmtId="4" fontId="0" fillId="0" borderId="0" xfId="0" applyNumberFormat="1" applyBorder="1" applyAlignment="1">
      <alignment horizontal="center" vertical="center"/>
    </xf>
    <xf numFmtId="4" fontId="28" fillId="0" borderId="8" xfId="0" applyNumberFormat="1" applyFont="1" applyFill="1" applyBorder="1" applyAlignment="1">
      <alignment vertical="top" wrapText="1"/>
    </xf>
    <xf numFmtId="4" fontId="28" fillId="0" borderId="0" xfId="0" applyNumberFormat="1" applyFont="1" applyAlignment="1">
      <alignment vertical="top" wrapText="1"/>
    </xf>
    <xf numFmtId="0" fontId="92" fillId="0" borderId="0" xfId="0" applyFont="1" applyAlignment="1">
      <alignment vertical="top" wrapText="1"/>
    </xf>
    <xf numFmtId="0" fontId="99" fillId="0" borderId="0" xfId="0" applyFont="1" applyAlignment="1">
      <alignment vertical="top" wrapText="1"/>
    </xf>
    <xf numFmtId="4" fontId="28" fillId="0" borderId="0" xfId="0" applyNumberFormat="1" applyFont="1" applyFill="1" applyAlignment="1">
      <alignment vertical="top" wrapText="1"/>
    </xf>
    <xf numFmtId="4" fontId="28" fillId="0" borderId="0" xfId="0" applyNumberFormat="1" applyFont="1" applyBorder="1" applyAlignment="1">
      <alignment vertical="top" wrapText="1"/>
    </xf>
    <xf numFmtId="4" fontId="85" fillId="0" borderId="0" xfId="164" applyNumberFormat="1" applyFont="1"/>
    <xf numFmtId="4" fontId="28" fillId="0" borderId="16" xfId="0" applyNumberFormat="1" applyFont="1" applyFill="1" applyBorder="1" applyAlignment="1">
      <alignment horizontal="left" vertical="top" wrapText="1"/>
    </xf>
    <xf numFmtId="4" fontId="28" fillId="0" borderId="10" xfId="0" applyNumberFormat="1" applyFont="1" applyFill="1" applyBorder="1" applyAlignment="1">
      <alignment horizontal="center" vertical="center" wrapText="1"/>
    </xf>
    <xf numFmtId="0" fontId="28" fillId="0" borderId="0" xfId="0" applyFont="1" applyFill="1" applyAlignment="1">
      <alignment horizontal="left" vertical="top" wrapText="1"/>
    </xf>
    <xf numFmtId="0" fontId="29" fillId="0" borderId="2" xfId="0" applyFont="1" applyFill="1" applyBorder="1" applyAlignment="1">
      <alignment horizontal="left" vertical="top" wrapText="1"/>
    </xf>
    <xf numFmtId="0" fontId="29" fillId="0" borderId="0" xfId="0" applyFont="1" applyFill="1" applyBorder="1" applyAlignment="1">
      <alignment horizontal="left" vertical="top" wrapText="1"/>
    </xf>
    <xf numFmtId="0" fontId="28" fillId="0" borderId="0" xfId="0" applyFont="1" applyFill="1" applyBorder="1" applyAlignment="1">
      <alignment horizontal="left" vertical="top" wrapText="1"/>
    </xf>
    <xf numFmtId="0" fontId="29" fillId="0" borderId="10" xfId="0" applyFont="1" applyFill="1" applyBorder="1" applyAlignment="1">
      <alignment horizontal="left" vertical="top" wrapText="1"/>
    </xf>
    <xf numFmtId="0" fontId="28" fillId="0" borderId="4" xfId="0" applyFont="1" applyFill="1" applyBorder="1" applyAlignment="1">
      <alignment horizontal="left" vertical="top" wrapText="1"/>
    </xf>
    <xf numFmtId="4" fontId="28" fillId="0" borderId="0" xfId="0" applyNumberFormat="1" applyFont="1" applyFill="1" applyBorder="1" applyAlignment="1">
      <alignment vertical="top" wrapText="1"/>
    </xf>
    <xf numFmtId="4" fontId="28" fillId="0" borderId="0" xfId="0" applyNumberFormat="1" applyFont="1" applyFill="1" applyBorder="1" applyAlignment="1">
      <alignment horizontal="center" vertical="center"/>
    </xf>
    <xf numFmtId="0" fontId="29" fillId="0" borderId="0" xfId="0" applyFont="1" applyAlignment="1">
      <alignment horizontal="left" vertical="top"/>
    </xf>
    <xf numFmtId="0" fontId="70" fillId="0" borderId="0" xfId="0" applyFont="1" applyAlignment="1">
      <alignment horizontal="left" vertical="center"/>
    </xf>
    <xf numFmtId="0" fontId="29" fillId="11" borderId="21" xfId="0" applyFont="1" applyFill="1" applyBorder="1" applyAlignment="1">
      <alignment horizontal="center" vertical="center"/>
    </xf>
    <xf numFmtId="0" fontId="29" fillId="11" borderId="22" xfId="0" applyFont="1" applyFill="1" applyBorder="1" applyAlignment="1">
      <alignment horizontal="center" vertical="center"/>
    </xf>
    <xf numFmtId="0" fontId="29" fillId="11" borderId="22" xfId="0" applyFont="1" applyFill="1" applyBorder="1" applyAlignment="1">
      <alignment vertical="center" wrapText="1"/>
    </xf>
    <xf numFmtId="4" fontId="29" fillId="11" borderId="22" xfId="0" applyNumberFormat="1" applyFont="1" applyFill="1" applyBorder="1" applyAlignment="1">
      <alignment horizontal="right" vertical="center"/>
    </xf>
    <xf numFmtId="0" fontId="28" fillId="0" borderId="0" xfId="0" applyFont="1" applyAlignment="1">
      <alignment horizontal="left" vertical="center"/>
    </xf>
    <xf numFmtId="0" fontId="29" fillId="0" borderId="0" xfId="0" applyFont="1" applyAlignment="1">
      <alignment horizontal="left" vertical="top" wrapText="1"/>
    </xf>
    <xf numFmtId="166" fontId="77" fillId="2" borderId="0" xfId="5" applyNumberFormat="1" applyFont="1" applyFill="1" applyBorder="1" applyAlignment="1">
      <alignment vertical="center" wrapText="1"/>
    </xf>
    <xf numFmtId="0" fontId="28" fillId="0" borderId="0" xfId="0" applyFont="1" applyAlignment="1">
      <alignment horizontal="left" vertical="center" wrapText="1"/>
    </xf>
    <xf numFmtId="0" fontId="98" fillId="0" borderId="0" xfId="0" applyFont="1" applyAlignment="1">
      <alignment horizontal="left" vertical="center"/>
    </xf>
    <xf numFmtId="0" fontId="28" fillId="0" borderId="0" xfId="0" applyFont="1" applyAlignment="1">
      <alignment horizontal="left" vertical="center"/>
    </xf>
    <xf numFmtId="0" fontId="98" fillId="0" borderId="0" xfId="0" applyFont="1" applyAlignment="1">
      <alignment horizontal="left" vertical="center"/>
    </xf>
    <xf numFmtId="4" fontId="28" fillId="0" borderId="1" xfId="0" applyNumberFormat="1" applyFont="1" applyFill="1" applyBorder="1" applyAlignment="1">
      <alignment vertical="top" wrapText="1"/>
    </xf>
    <xf numFmtId="4" fontId="28" fillId="0" borderId="28" xfId="0" applyNumberFormat="1" applyFont="1" applyFill="1" applyBorder="1" applyAlignment="1">
      <alignment vertical="top" wrapText="1"/>
    </xf>
    <xf numFmtId="4" fontId="28" fillId="0" borderId="10" xfId="0" applyNumberFormat="1" applyFont="1" applyFill="1" applyBorder="1" applyAlignment="1">
      <alignment vertical="top" wrapText="1"/>
    </xf>
    <xf numFmtId="4" fontId="28" fillId="0" borderId="22" xfId="0" applyNumberFormat="1" applyFont="1" applyFill="1" applyBorder="1" applyAlignment="1">
      <alignment vertical="top" wrapText="1"/>
    </xf>
    <xf numFmtId="0" fontId="66" fillId="0" borderId="1" xfId="0" applyFont="1" applyBorder="1" applyAlignment="1">
      <alignment horizontal="left" vertical="center" wrapText="1"/>
    </xf>
    <xf numFmtId="4" fontId="70" fillId="0" borderId="9" xfId="0" applyNumberFormat="1" applyFont="1" applyFill="1" applyBorder="1" applyAlignment="1">
      <alignment horizontal="right" vertical="center"/>
    </xf>
    <xf numFmtId="0" fontId="101" fillId="0" borderId="0" xfId="0" applyFont="1" applyFill="1"/>
    <xf numFmtId="0" fontId="101" fillId="0" borderId="0" xfId="0" applyFont="1"/>
    <xf numFmtId="166" fontId="102" fillId="2" borderId="1" xfId="5" applyNumberFormat="1" applyFont="1" applyFill="1" applyBorder="1" applyAlignment="1">
      <alignment horizontal="center" vertical="center" wrapText="1"/>
    </xf>
    <xf numFmtId="0" fontId="66" fillId="0" borderId="1" xfId="0" applyFont="1" applyFill="1" applyBorder="1" applyAlignment="1">
      <alignment horizontal="left" vertical="center" wrapText="1"/>
    </xf>
    <xf numFmtId="0" fontId="70" fillId="0" borderId="0" xfId="0" applyFont="1" applyFill="1" applyBorder="1" applyAlignment="1">
      <alignment horizontal="center" vertical="center"/>
    </xf>
    <xf numFmtId="0" fontId="70" fillId="0" borderId="9" xfId="0" applyFont="1" applyFill="1" applyBorder="1" applyAlignment="1">
      <alignment horizontal="center" vertical="center"/>
    </xf>
    <xf numFmtId="0" fontId="66" fillId="0" borderId="4" xfId="0" applyFont="1" applyFill="1" applyBorder="1" applyAlignment="1">
      <alignment horizontal="center" vertical="center"/>
    </xf>
    <xf numFmtId="0" fontId="66" fillId="0" borderId="8" xfId="0" applyFont="1" applyFill="1" applyBorder="1" applyAlignment="1">
      <alignment horizontal="center" vertical="center"/>
    </xf>
    <xf numFmtId="0" fontId="63" fillId="0" borderId="0" xfId="5" applyFont="1" applyFill="1" applyAlignment="1">
      <alignment horizontal="left" vertical="center"/>
    </xf>
    <xf numFmtId="4" fontId="28" fillId="0" borderId="0" xfId="0" applyNumberFormat="1" applyFont="1" applyAlignment="1">
      <alignment horizontal="center" vertical="center"/>
    </xf>
    <xf numFmtId="0" fontId="28" fillId="0" borderId="0" xfId="0" applyFont="1" applyAlignment="1">
      <alignment horizontal="center" vertical="center"/>
    </xf>
    <xf numFmtId="0" fontId="70" fillId="0" borderId="10" xfId="0" applyFont="1" applyFill="1" applyBorder="1" applyAlignment="1">
      <alignment horizontal="center" vertical="center"/>
    </xf>
    <xf numFmtId="0" fontId="28" fillId="0" borderId="0" xfId="33" applyFont="1" applyFill="1" applyBorder="1" applyAlignment="1">
      <alignment vertical="center"/>
    </xf>
    <xf numFmtId="0" fontId="50" fillId="2" borderId="0" xfId="5" applyFont="1" applyFill="1" applyBorder="1" applyAlignment="1">
      <alignment horizontal="center" wrapText="1"/>
    </xf>
    <xf numFmtId="170" fontId="50" fillId="2" borderId="0" xfId="5" applyNumberFormat="1" applyFont="1" applyFill="1" applyAlignment="1">
      <alignment horizontal="center"/>
    </xf>
    <xf numFmtId="0" fontId="62" fillId="2" borderId="1" xfId="5" applyFont="1" applyFill="1" applyBorder="1" applyAlignment="1">
      <alignment horizontal="center" vertical="center" wrapText="1"/>
    </xf>
    <xf numFmtId="0" fontId="102" fillId="2" borderId="1" xfId="5" applyFont="1" applyFill="1" applyBorder="1" applyAlignment="1">
      <alignment horizontal="center" vertical="center" wrapText="1"/>
    </xf>
    <xf numFmtId="4" fontId="28" fillId="0" borderId="15" xfId="15" applyNumberFormat="1" applyFont="1" applyFill="1" applyBorder="1" applyAlignment="1">
      <alignment horizontal="center" vertical="center" wrapText="1"/>
    </xf>
    <xf numFmtId="0" fontId="62" fillId="2" borderId="0" xfId="0" applyFont="1" applyFill="1" applyAlignment="1">
      <alignment horizontal="right"/>
    </xf>
    <xf numFmtId="0" fontId="62" fillId="2" borderId="0" xfId="0" applyFont="1" applyFill="1" applyAlignment="1">
      <alignment horizontal="center"/>
    </xf>
    <xf numFmtId="0" fontId="92" fillId="2" borderId="0" xfId="0" applyFont="1" applyFill="1" applyAlignment="1">
      <alignment horizontal="center" vertical="center" wrapText="1"/>
    </xf>
    <xf numFmtId="0" fontId="92" fillId="2" borderId="0" xfId="0" applyFont="1" applyFill="1" applyAlignment="1">
      <alignment horizontal="center" vertical="center"/>
    </xf>
    <xf numFmtId="0" fontId="62" fillId="2" borderId="0" xfId="0" applyFont="1" applyFill="1" applyBorder="1"/>
    <xf numFmtId="0" fontId="62" fillId="2" borderId="0" xfId="0" applyFont="1" applyFill="1" applyBorder="1" applyAlignment="1">
      <alignment horizontal="center" vertical="center"/>
    </xf>
    <xf numFmtId="0" fontId="62" fillId="2" borderId="0" xfId="0" applyFont="1" applyFill="1" applyBorder="1" applyAlignment="1">
      <alignment horizontal="left" vertical="center" wrapText="1"/>
    </xf>
    <xf numFmtId="3" fontId="62" fillId="2" borderId="0" xfId="0" applyNumberFormat="1" applyFont="1" applyFill="1" applyBorder="1" applyAlignment="1">
      <alignment horizontal="center" vertical="center" wrapText="1"/>
    </xf>
    <xf numFmtId="4" fontId="62" fillId="2" borderId="0" xfId="0" applyNumberFormat="1" applyFont="1" applyFill="1" applyBorder="1" applyAlignment="1">
      <alignment horizontal="center" vertical="center"/>
    </xf>
    <xf numFmtId="3" fontId="62" fillId="2" borderId="0" xfId="0" applyNumberFormat="1" applyFont="1" applyFill="1" applyBorder="1" applyAlignment="1">
      <alignment horizontal="center" vertical="center"/>
    </xf>
    <xf numFmtId="4" fontId="62" fillId="2" borderId="0" xfId="0" applyNumberFormat="1" applyFont="1" applyFill="1" applyBorder="1" applyAlignment="1">
      <alignment horizontal="center"/>
    </xf>
    <xf numFmtId="0" fontId="63" fillId="2" borderId="0" xfId="0" applyFont="1" applyFill="1" applyBorder="1" applyAlignment="1">
      <alignment horizontal="center"/>
    </xf>
    <xf numFmtId="0" fontId="63" fillId="2" borderId="0" xfId="0" applyFont="1" applyFill="1" applyBorder="1" applyAlignment="1">
      <alignment horizontal="center" wrapText="1"/>
    </xf>
    <xf numFmtId="4" fontId="63" fillId="2" borderId="0" xfId="0" applyNumberFormat="1" applyFont="1" applyFill="1" applyBorder="1" applyAlignment="1">
      <alignment horizontal="center" wrapText="1"/>
    </xf>
    <xf numFmtId="3" fontId="63" fillId="2" borderId="0" xfId="0" applyNumberFormat="1" applyFont="1" applyFill="1" applyBorder="1" applyAlignment="1">
      <alignment horizontal="center" wrapText="1"/>
    </xf>
    <xf numFmtId="4" fontId="75" fillId="2" borderId="0" xfId="0" applyNumberFormat="1" applyFont="1" applyFill="1" applyBorder="1" applyAlignment="1">
      <alignment horizontal="center" wrapText="1"/>
    </xf>
    <xf numFmtId="4" fontId="73" fillId="2" borderId="0" xfId="0" applyNumberFormat="1" applyFont="1" applyFill="1" applyBorder="1" applyAlignment="1">
      <alignment horizontal="center" wrapText="1"/>
    </xf>
    <xf numFmtId="166" fontId="62" fillId="2" borderId="1" xfId="5" applyNumberFormat="1" applyFont="1" applyFill="1" applyBorder="1" applyAlignment="1">
      <alignment horizontal="right" vertical="center" wrapText="1"/>
    </xf>
    <xf numFmtId="0" fontId="62" fillId="2" borderId="1" xfId="5" applyFont="1" applyFill="1" applyBorder="1" applyAlignment="1">
      <alignment horizontal="left" vertical="center" wrapText="1"/>
    </xf>
    <xf numFmtId="166" fontId="62" fillId="2" borderId="1" xfId="5" applyNumberFormat="1" applyFont="1" applyFill="1" applyBorder="1" applyAlignment="1">
      <alignment vertical="center" wrapText="1"/>
    </xf>
    <xf numFmtId="0" fontId="62" fillId="2" borderId="1" xfId="0" applyFont="1" applyFill="1" applyBorder="1"/>
    <xf numFmtId="0" fontId="63" fillId="2" borderId="1" xfId="5" applyFont="1" applyFill="1" applyBorder="1" applyAlignment="1">
      <alignment horizontal="left" vertical="center" wrapText="1"/>
    </xf>
    <xf numFmtId="166" fontId="63" fillId="2" borderId="1" xfId="5" applyNumberFormat="1" applyFont="1" applyFill="1" applyBorder="1" applyAlignment="1">
      <alignment horizontal="center" vertical="center" wrapText="1"/>
    </xf>
    <xf numFmtId="166" fontId="63" fillId="2" borderId="1" xfId="5" applyNumberFormat="1" applyFont="1" applyFill="1" applyBorder="1" applyAlignment="1">
      <alignment vertical="center" wrapText="1"/>
    </xf>
    <xf numFmtId="0" fontId="101" fillId="2" borderId="0" xfId="0" applyFont="1" applyFill="1"/>
    <xf numFmtId="0" fontId="102" fillId="2" borderId="0" xfId="0" applyFont="1" applyFill="1"/>
    <xf numFmtId="0" fontId="102" fillId="2" borderId="1" xfId="0" applyFont="1" applyFill="1" applyBorder="1" applyAlignment="1">
      <alignment horizontal="center" vertical="center"/>
    </xf>
    <xf numFmtId="0" fontId="102" fillId="2" borderId="1" xfId="5" applyFont="1" applyFill="1" applyBorder="1" applyAlignment="1">
      <alignment horizontal="left" vertical="center" wrapText="1"/>
    </xf>
    <xf numFmtId="166" fontId="102" fillId="2" borderId="1" xfId="5" applyNumberFormat="1" applyFont="1" applyFill="1" applyBorder="1" applyAlignment="1">
      <alignment vertical="center" wrapText="1"/>
    </xf>
    <xf numFmtId="166" fontId="76" fillId="2" borderId="1" xfId="5" applyNumberFormat="1" applyFont="1" applyFill="1" applyBorder="1" applyAlignment="1">
      <alignment horizontal="center" vertical="center" wrapText="1"/>
    </xf>
    <xf numFmtId="0" fontId="91" fillId="2" borderId="0" xfId="5" applyFont="1" applyFill="1" applyBorder="1" applyAlignment="1">
      <alignment horizontal="left" vertical="center" wrapText="1"/>
    </xf>
    <xf numFmtId="0" fontId="91" fillId="2" borderId="0" xfId="5" applyFont="1" applyFill="1" applyBorder="1" applyAlignment="1">
      <alignment vertical="center" wrapText="1"/>
    </xf>
    <xf numFmtId="168" fontId="91" fillId="2" borderId="0" xfId="5" applyNumberFormat="1" applyFont="1" applyFill="1" applyBorder="1" applyAlignment="1">
      <alignment horizontal="center" vertical="center" wrapText="1"/>
    </xf>
    <xf numFmtId="166" fontId="91" fillId="2" borderId="0" xfId="5" applyNumberFormat="1" applyFont="1" applyFill="1" applyBorder="1" applyAlignment="1">
      <alignment vertical="center" wrapText="1"/>
    </xf>
    <xf numFmtId="4" fontId="91" fillId="2" borderId="0" xfId="5" applyNumberFormat="1" applyFont="1" applyFill="1" applyBorder="1" applyAlignment="1">
      <alignment horizontal="center" vertical="center" wrapText="1"/>
    </xf>
    <xf numFmtId="0" fontId="64" fillId="2" borderId="0" xfId="5" applyFont="1" applyFill="1" applyBorder="1" applyAlignment="1">
      <alignment horizontal="center" vertical="center"/>
    </xf>
    <xf numFmtId="0" fontId="62" fillId="2" borderId="1" xfId="0" applyFont="1" applyFill="1" applyBorder="1" applyAlignment="1">
      <alignment horizontal="center"/>
    </xf>
    <xf numFmtId="0" fontId="82" fillId="2" borderId="7" xfId="0" applyFont="1" applyFill="1" applyBorder="1" applyAlignment="1">
      <alignment vertical="center" wrapText="1"/>
    </xf>
    <xf numFmtId="4" fontId="70" fillId="2" borderId="1" xfId="0" applyNumberFormat="1" applyFont="1" applyFill="1" applyBorder="1" applyAlignment="1">
      <alignment horizontal="center" vertical="center" wrapText="1"/>
    </xf>
    <xf numFmtId="0" fontId="63" fillId="2" borderId="0" xfId="5" applyFont="1" applyFill="1" applyBorder="1" applyAlignment="1">
      <alignment vertical="center" wrapText="1"/>
    </xf>
    <xf numFmtId="49" fontId="63" fillId="2" borderId="0" xfId="5" applyNumberFormat="1" applyFont="1" applyFill="1" applyBorder="1" applyAlignment="1">
      <alignment horizontal="center" vertical="center" wrapText="1"/>
    </xf>
    <xf numFmtId="0" fontId="64" fillId="2" borderId="0" xfId="0" applyFont="1" applyFill="1" applyBorder="1" applyAlignment="1">
      <alignment vertical="center" wrapText="1"/>
    </xf>
    <xf numFmtId="0" fontId="64" fillId="2" borderId="0" xfId="0" applyFont="1" applyFill="1" applyBorder="1" applyAlignment="1">
      <alignment horizontal="center" vertical="center"/>
    </xf>
    <xf numFmtId="0" fontId="81" fillId="2" borderId="7" xfId="0" applyFont="1" applyFill="1" applyBorder="1" applyAlignment="1">
      <alignment horizontal="center" vertical="center" wrapText="1"/>
    </xf>
    <xf numFmtId="0" fontId="81" fillId="2" borderId="1" xfId="0" applyFont="1" applyFill="1" applyBorder="1" applyAlignment="1">
      <alignment horizontal="center" vertical="center" wrapText="1"/>
    </xf>
    <xf numFmtId="0" fontId="81" fillId="2" borderId="0" xfId="0" applyFont="1" applyFill="1" applyBorder="1" applyAlignment="1">
      <alignment horizontal="center" vertical="center" wrapText="1"/>
    </xf>
    <xf numFmtId="0" fontId="66" fillId="2" borderId="7" xfId="0" applyFont="1" applyFill="1" applyBorder="1" applyAlignment="1">
      <alignment vertical="center" wrapText="1"/>
    </xf>
    <xf numFmtId="0" fontId="66" fillId="2" borderId="0" xfId="0" applyFont="1" applyFill="1" applyBorder="1" applyAlignment="1">
      <alignment vertical="center" wrapText="1"/>
    </xf>
    <xf numFmtId="0" fontId="74" fillId="2" borderId="0" xfId="0" applyFont="1" applyFill="1" applyBorder="1" applyAlignment="1">
      <alignment horizontal="center" vertical="center" wrapText="1"/>
    </xf>
    <xf numFmtId="4" fontId="66" fillId="2" borderId="0" xfId="0" applyNumberFormat="1" applyFont="1" applyFill="1" applyBorder="1" applyAlignment="1">
      <alignment horizontal="center" vertical="center" wrapText="1"/>
    </xf>
    <xf numFmtId="4" fontId="66" fillId="0" borderId="8" xfId="0" applyNumberFormat="1" applyFont="1" applyFill="1" applyBorder="1" applyAlignment="1">
      <alignment horizontal="left" vertical="center"/>
    </xf>
    <xf numFmtId="0" fontId="29" fillId="0" borderId="10" xfId="0" applyFont="1" applyFill="1" applyBorder="1" applyAlignment="1">
      <alignment wrapText="1"/>
    </xf>
    <xf numFmtId="4" fontId="70" fillId="0" borderId="10" xfId="0" applyNumberFormat="1" applyFont="1" applyFill="1" applyBorder="1" applyAlignment="1">
      <alignment horizontal="right" vertical="center" wrapText="1"/>
    </xf>
    <xf numFmtId="4" fontId="66" fillId="0" borderId="8" xfId="0" applyNumberFormat="1" applyFont="1" applyFill="1" applyBorder="1" applyAlignment="1">
      <alignment horizontal="right" vertical="center" wrapText="1"/>
    </xf>
    <xf numFmtId="0" fontId="70" fillId="0" borderId="38" xfId="0" applyFont="1" applyFill="1" applyBorder="1" applyAlignment="1">
      <alignment horizontal="center" vertical="center" wrapText="1"/>
    </xf>
    <xf numFmtId="0" fontId="66" fillId="0" borderId="15"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2" xfId="0" applyFont="1" applyFill="1" applyBorder="1" applyAlignment="1">
      <alignment horizontal="left" vertical="center" wrapText="1"/>
    </xf>
    <xf numFmtId="0" fontId="28" fillId="0" borderId="4" xfId="0" applyFont="1" applyFill="1" applyBorder="1" applyAlignment="1">
      <alignment wrapText="1"/>
    </xf>
    <xf numFmtId="4" fontId="29" fillId="5" borderId="3" xfId="0" applyNumberFormat="1" applyFont="1" applyFill="1" applyBorder="1" applyAlignment="1">
      <alignment horizontal="right" vertical="center" wrapText="1"/>
    </xf>
    <xf numFmtId="4" fontId="29" fillId="5" borderId="15" xfId="0" applyNumberFormat="1" applyFont="1" applyFill="1" applyBorder="1" applyAlignment="1">
      <alignment horizontal="right" vertical="center" wrapText="1"/>
    </xf>
    <xf numFmtId="4" fontId="29" fillId="5" borderId="7" xfId="0" applyNumberFormat="1" applyFont="1" applyFill="1" applyBorder="1" applyAlignment="1">
      <alignment horizontal="right" vertical="center" wrapText="1"/>
    </xf>
    <xf numFmtId="4" fontId="29" fillId="0" borderId="3" xfId="0" applyNumberFormat="1" applyFont="1" applyFill="1" applyBorder="1" applyAlignment="1">
      <alignment horizontal="right" vertical="center" wrapText="1"/>
    </xf>
    <xf numFmtId="4" fontId="29" fillId="0" borderId="15" xfId="0" applyNumberFormat="1" applyFont="1" applyFill="1" applyBorder="1" applyAlignment="1">
      <alignment horizontal="right" vertical="center"/>
    </xf>
    <xf numFmtId="4" fontId="29" fillId="5" borderId="14" xfId="0" applyNumberFormat="1" applyFont="1" applyFill="1" applyBorder="1" applyAlignment="1">
      <alignment horizontal="right" vertical="center" wrapText="1"/>
    </xf>
    <xf numFmtId="0" fontId="28" fillId="0" borderId="8" xfId="0" applyFont="1" applyFill="1" applyBorder="1" applyAlignment="1">
      <alignment wrapText="1"/>
    </xf>
    <xf numFmtId="0" fontId="29" fillId="0" borderId="3" xfId="0" applyFont="1" applyFill="1" applyBorder="1" applyAlignment="1">
      <alignment horizontal="left" vertical="center" wrapText="1"/>
    </xf>
    <xf numFmtId="4" fontId="28" fillId="2" borderId="4" xfId="0" applyNumberFormat="1" applyFont="1" applyFill="1" applyBorder="1" applyAlignment="1">
      <alignment horizontal="right" vertical="center"/>
    </xf>
    <xf numFmtId="4" fontId="29" fillId="5" borderId="9" xfId="0" applyNumberFormat="1" applyFont="1" applyFill="1" applyBorder="1" applyAlignment="1">
      <alignment horizontal="right" vertical="center" wrapText="1"/>
    </xf>
    <xf numFmtId="4" fontId="29" fillId="5" borderId="38" xfId="0" applyNumberFormat="1" applyFont="1" applyFill="1" applyBorder="1" applyAlignment="1">
      <alignment horizontal="right" vertical="center" wrapText="1"/>
    </xf>
    <xf numFmtId="0" fontId="70" fillId="0" borderId="2" xfId="0" applyFont="1" applyFill="1" applyBorder="1" applyAlignment="1">
      <alignment horizontal="center" vertical="center"/>
    </xf>
    <xf numFmtId="0" fontId="70" fillId="0" borderId="10" xfId="0" applyFont="1" applyFill="1" applyBorder="1" applyAlignment="1">
      <alignment horizontal="center" vertical="center" wrapText="1"/>
    </xf>
    <xf numFmtId="4" fontId="70" fillId="0" borderId="2" xfId="0" applyNumberFormat="1" applyFont="1" applyFill="1" applyBorder="1" applyAlignment="1">
      <alignment horizontal="right" vertical="center" wrapText="1"/>
    </xf>
    <xf numFmtId="0" fontId="29" fillId="0" borderId="15" xfId="0" applyFont="1" applyFill="1" applyBorder="1" applyAlignment="1">
      <alignment horizontal="center" vertical="center" wrapText="1"/>
    </xf>
    <xf numFmtId="0" fontId="29" fillId="11" borderId="17" xfId="0" applyFont="1" applyFill="1" applyBorder="1" applyAlignment="1">
      <alignment horizontal="center" vertical="center" wrapText="1"/>
    </xf>
    <xf numFmtId="4" fontId="29" fillId="0" borderId="8" xfId="0" applyNumberFormat="1" applyFont="1" applyFill="1" applyBorder="1" applyAlignment="1">
      <alignment horizontal="right" vertical="center" wrapText="1"/>
    </xf>
    <xf numFmtId="4" fontId="29" fillId="11" borderId="22" xfId="0" applyNumberFormat="1" applyFont="1" applyFill="1" applyBorder="1" applyAlignment="1">
      <alignment horizontal="right" vertical="center" wrapText="1"/>
    </xf>
    <xf numFmtId="0" fontId="70" fillId="0" borderId="10" xfId="0" applyFont="1" applyBorder="1" applyAlignment="1">
      <alignment horizontal="left" vertical="center" wrapText="1"/>
    </xf>
    <xf numFmtId="4" fontId="28" fillId="0" borderId="9" xfId="0" applyNumberFormat="1" applyFont="1" applyFill="1" applyBorder="1" applyAlignment="1">
      <alignment horizontal="left" vertical="center"/>
    </xf>
    <xf numFmtId="4" fontId="29" fillId="0" borderId="2" xfId="0" applyNumberFormat="1" applyFont="1" applyFill="1" applyBorder="1" applyAlignment="1">
      <alignment horizontal="left" vertical="center" wrapText="1"/>
    </xf>
    <xf numFmtId="0" fontId="29" fillId="0" borderId="2" xfId="0" applyNumberFormat="1" applyFont="1" applyFill="1" applyBorder="1" applyAlignment="1">
      <alignment horizontal="center" wrapText="1"/>
    </xf>
    <xf numFmtId="0" fontId="29" fillId="0" borderId="9" xfId="0" applyNumberFormat="1" applyFont="1" applyFill="1" applyBorder="1" applyAlignment="1">
      <alignment horizontal="center" vertical="center"/>
    </xf>
    <xf numFmtId="4" fontId="28" fillId="0" borderId="8" xfId="0" applyNumberFormat="1" applyFont="1" applyFill="1" applyBorder="1" applyAlignment="1">
      <alignment horizontal="left" vertical="center"/>
    </xf>
    <xf numFmtId="4" fontId="28" fillId="0" borderId="10" xfId="0" applyNumberFormat="1" applyFont="1" applyFill="1" applyBorder="1" applyAlignment="1">
      <alignment horizontal="left" vertical="center"/>
    </xf>
    <xf numFmtId="4" fontId="29" fillId="0" borderId="9" xfId="0" applyNumberFormat="1" applyFont="1" applyFill="1" applyBorder="1" applyAlignment="1">
      <alignment horizontal="left" vertical="center" wrapText="1"/>
    </xf>
    <xf numFmtId="0" fontId="28" fillId="0" borderId="14" xfId="0" applyFont="1" applyFill="1" applyBorder="1" applyAlignment="1">
      <alignment horizontal="center" vertical="center" wrapText="1"/>
    </xf>
    <xf numFmtId="4" fontId="28" fillId="0" borderId="3" xfId="0" applyNumberFormat="1" applyFont="1" applyFill="1" applyBorder="1" applyAlignment="1">
      <alignment horizontal="right" vertical="center"/>
    </xf>
    <xf numFmtId="4" fontId="28" fillId="0" borderId="39" xfId="0" applyNumberFormat="1" applyFont="1" applyFill="1" applyBorder="1" applyAlignment="1">
      <alignment horizontal="left" vertical="center" wrapText="1"/>
    </xf>
    <xf numFmtId="4" fontId="28" fillId="0" borderId="14" xfId="0" applyNumberFormat="1" applyFont="1" applyFill="1" applyBorder="1" applyAlignment="1">
      <alignment horizontal="left" vertical="top" wrapText="1"/>
    </xf>
    <xf numFmtId="4" fontId="28" fillId="0" borderId="16" xfId="0" applyNumberFormat="1" applyFont="1" applyFill="1" applyBorder="1" applyAlignment="1">
      <alignment horizontal="right" vertical="center" wrapText="1"/>
    </xf>
    <xf numFmtId="43" fontId="28" fillId="0" borderId="9" xfId="306" applyFont="1" applyFill="1" applyBorder="1" applyAlignment="1">
      <alignment horizontal="center" vertical="center" wrapText="1"/>
    </xf>
    <xf numFmtId="43" fontId="28" fillId="0" borderId="10" xfId="306" applyFont="1" applyFill="1" applyBorder="1" applyAlignment="1">
      <alignment horizontal="center" vertical="center" wrapText="1"/>
    </xf>
    <xf numFmtId="43" fontId="28" fillId="0" borderId="8" xfId="306" applyFont="1" applyFill="1" applyBorder="1" applyAlignment="1">
      <alignment horizontal="center" vertical="center" wrapText="1"/>
    </xf>
    <xf numFmtId="43" fontId="29" fillId="0" borderId="10" xfId="306" applyFont="1" applyFill="1" applyBorder="1" applyAlignment="1">
      <alignment horizontal="center" vertical="center" wrapText="1"/>
    </xf>
    <xf numFmtId="0" fontId="28" fillId="0" borderId="9" xfId="33" applyFont="1" applyFill="1" applyBorder="1" applyAlignment="1">
      <alignment vertical="center"/>
    </xf>
    <xf numFmtId="0" fontId="28" fillId="0" borderId="8" xfId="33" applyFont="1" applyFill="1" applyBorder="1" applyAlignment="1">
      <alignment vertical="center"/>
    </xf>
    <xf numFmtId="0" fontId="29" fillId="0" borderId="16" xfId="0" applyFont="1" applyFill="1" applyBorder="1" applyAlignment="1">
      <alignment horizontal="center" vertical="center" wrapText="1"/>
    </xf>
    <xf numFmtId="0" fontId="28" fillId="0" borderId="55" xfId="0" applyFont="1" applyFill="1" applyBorder="1" applyAlignment="1">
      <alignment horizontal="center" vertical="center"/>
    </xf>
    <xf numFmtId="0" fontId="28" fillId="0" borderId="45" xfId="0" applyFont="1" applyFill="1" applyBorder="1" applyAlignment="1">
      <alignment horizontal="center" vertical="center"/>
    </xf>
    <xf numFmtId="0" fontId="28" fillId="0" borderId="55" xfId="0" applyFont="1" applyFill="1" applyBorder="1" applyAlignment="1">
      <alignment vertical="center" wrapText="1"/>
    </xf>
    <xf numFmtId="0" fontId="28" fillId="0" borderId="54" xfId="0" applyFont="1" applyFill="1" applyBorder="1" applyAlignment="1">
      <alignment horizontal="center" vertical="center" wrapText="1"/>
    </xf>
    <xf numFmtId="4" fontId="28" fillId="0" borderId="45" xfId="0" applyNumberFormat="1" applyFont="1" applyFill="1" applyBorder="1" applyAlignment="1">
      <alignment horizontal="right" vertical="center" wrapText="1"/>
    </xf>
    <xf numFmtId="43" fontId="28" fillId="0" borderId="45" xfId="306" applyFont="1" applyFill="1" applyBorder="1" applyAlignment="1">
      <alignment horizontal="center" vertical="center" wrapText="1"/>
    </xf>
    <xf numFmtId="0" fontId="29" fillId="0" borderId="8" xfId="0" applyFont="1" applyFill="1" applyBorder="1" applyAlignment="1">
      <alignment vertical="center" wrapText="1"/>
    </xf>
    <xf numFmtId="0" fontId="70" fillId="0" borderId="10" xfId="0" applyFont="1" applyFill="1" applyBorder="1" applyAlignment="1">
      <alignment horizontal="left" vertical="center" wrapText="1"/>
    </xf>
    <xf numFmtId="43" fontId="28" fillId="0" borderId="10" xfId="306" applyFont="1" applyFill="1" applyBorder="1" applyAlignment="1">
      <alignment vertical="center" wrapText="1"/>
    </xf>
    <xf numFmtId="0" fontId="98" fillId="0" borderId="0" xfId="0" applyFont="1" applyAlignment="1">
      <alignment horizontal="left" vertical="center"/>
    </xf>
    <xf numFmtId="4" fontId="28" fillId="0" borderId="0" xfId="0" applyNumberFormat="1" applyFont="1" applyAlignment="1">
      <alignment horizontal="center" vertical="center"/>
    </xf>
    <xf numFmtId="0" fontId="29" fillId="0" borderId="8" xfId="0" applyFont="1" applyFill="1" applyBorder="1" applyAlignment="1">
      <alignment horizontal="left" vertical="center" wrapText="1"/>
    </xf>
    <xf numFmtId="49" fontId="62" fillId="2" borderId="1" xfId="5" applyNumberFormat="1" applyFont="1" applyFill="1" applyBorder="1" applyAlignment="1">
      <alignment horizontal="center" vertical="center" wrapText="1"/>
    </xf>
    <xf numFmtId="0" fontId="62" fillId="0" borderId="1" xfId="5" applyFont="1" applyBorder="1" applyAlignment="1">
      <alignment horizontal="center" vertical="center" wrapText="1"/>
    </xf>
    <xf numFmtId="49" fontId="62" fillId="0" borderId="1" xfId="5" applyNumberFormat="1" applyFont="1" applyBorder="1" applyAlignment="1">
      <alignment horizontal="center" vertical="center" wrapText="1"/>
    </xf>
    <xf numFmtId="49" fontId="62" fillId="0" borderId="1" xfId="5" applyNumberFormat="1" applyFont="1" applyFill="1" applyBorder="1" applyAlignment="1">
      <alignment horizontal="center" vertical="center" wrapText="1"/>
    </xf>
    <xf numFmtId="4" fontId="62" fillId="0" borderId="1" xfId="5" applyNumberFormat="1" applyFont="1" applyFill="1" applyBorder="1" applyAlignment="1">
      <alignment horizontal="center" vertical="center" wrapText="1"/>
    </xf>
    <xf numFmtId="0" fontId="62" fillId="0" borderId="1" xfId="5" applyFont="1" applyFill="1" applyBorder="1" applyAlignment="1">
      <alignment horizontal="center" vertical="center" wrapText="1"/>
    </xf>
    <xf numFmtId="0" fontId="62" fillId="2" borderId="1" xfId="0" applyFont="1" applyFill="1" applyBorder="1" applyAlignment="1">
      <alignment horizontal="center" vertical="center" wrapText="1"/>
    </xf>
    <xf numFmtId="49" fontId="50" fillId="0" borderId="1" xfId="5" applyNumberFormat="1" applyFont="1" applyFill="1" applyBorder="1" applyAlignment="1">
      <alignment horizontal="center" vertical="center" wrapText="1"/>
    </xf>
    <xf numFmtId="0" fontId="63" fillId="2" borderId="1" xfId="0" applyFont="1" applyFill="1" applyBorder="1" applyAlignment="1">
      <alignment horizontal="center" vertical="center" wrapText="1"/>
    </xf>
    <xf numFmtId="0" fontId="29" fillId="0" borderId="2" xfId="0" applyNumberFormat="1" applyFont="1" applyFill="1" applyBorder="1" applyAlignment="1">
      <alignment horizontal="center" vertical="center" wrapText="1"/>
    </xf>
    <xf numFmtId="0" fontId="28" fillId="0" borderId="9" xfId="0" applyNumberFormat="1" applyFont="1" applyFill="1" applyBorder="1" applyAlignment="1">
      <alignment horizontal="center" vertical="center"/>
    </xf>
    <xf numFmtId="0" fontId="29" fillId="0" borderId="10" xfId="0" applyNumberFormat="1" applyFont="1" applyFill="1" applyBorder="1" applyAlignment="1">
      <alignment horizontal="center" vertical="center"/>
    </xf>
    <xf numFmtId="49" fontId="62" fillId="2" borderId="1" xfId="5" applyNumberFormat="1" applyFont="1" applyFill="1" applyBorder="1" applyAlignment="1">
      <alignment horizontal="center" vertical="center" wrapText="1"/>
    </xf>
    <xf numFmtId="0" fontId="62" fillId="2" borderId="0" xfId="5" applyFont="1" applyFill="1" applyBorder="1" applyAlignment="1">
      <alignment horizontal="center"/>
    </xf>
    <xf numFmtId="0" fontId="81" fillId="0" borderId="1" xfId="0" applyFont="1" applyFill="1" applyBorder="1" applyAlignment="1">
      <alignment vertical="center"/>
    </xf>
    <xf numFmtId="0" fontId="81" fillId="0" borderId="38" xfId="0" applyFont="1" applyFill="1" applyBorder="1" applyAlignment="1">
      <alignment vertical="center" wrapText="1"/>
    </xf>
    <xf numFmtId="4" fontId="28" fillId="0" borderId="12" xfId="0" applyNumberFormat="1" applyFont="1" applyFill="1" applyBorder="1" applyAlignment="1">
      <alignment horizontal="left" vertical="top" wrapText="1"/>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xf>
    <xf numFmtId="4" fontId="28" fillId="0" borderId="50" xfId="0" applyNumberFormat="1" applyFont="1" applyFill="1" applyBorder="1" applyAlignment="1">
      <alignment horizontal="left" vertical="top" wrapText="1"/>
    </xf>
    <xf numFmtId="0" fontId="28" fillId="0" borderId="9" xfId="0" applyFont="1" applyFill="1" applyBorder="1" applyAlignment="1">
      <alignment horizontal="center" vertical="center" wrapText="1"/>
    </xf>
    <xf numFmtId="0" fontId="28" fillId="0" borderId="8" xfId="0" applyFont="1" applyFill="1" applyBorder="1" applyAlignment="1">
      <alignment horizontal="center" vertical="center" wrapText="1"/>
    </xf>
    <xf numFmtId="4" fontId="28" fillId="0" borderId="9" xfId="0" applyNumberFormat="1" applyFont="1" applyFill="1" applyBorder="1" applyAlignment="1">
      <alignment horizontal="center" vertical="center"/>
    </xf>
    <xf numFmtId="4" fontId="28" fillId="0" borderId="8" xfId="0" applyNumberFormat="1" applyFont="1" applyFill="1" applyBorder="1" applyAlignment="1">
      <alignment horizontal="center" vertical="center"/>
    </xf>
    <xf numFmtId="0" fontId="29" fillId="0" borderId="10"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2" xfId="0" applyFont="1" applyFill="1" applyBorder="1" applyAlignment="1">
      <alignment horizontal="center" vertical="center"/>
    </xf>
    <xf numFmtId="4" fontId="30" fillId="0" borderId="1" xfId="15" applyNumberFormat="1" applyFont="1" applyFill="1" applyBorder="1" applyAlignment="1">
      <alignment horizontal="center" vertical="center" wrapText="1"/>
    </xf>
    <xf numFmtId="4" fontId="63" fillId="2" borderId="1" xfId="5" applyNumberFormat="1" applyFont="1" applyFill="1" applyBorder="1" applyAlignment="1">
      <alignment horizontal="right" vertical="center" wrapText="1"/>
    </xf>
    <xf numFmtId="4" fontId="61" fillId="2" borderId="0" xfId="5" applyNumberFormat="1" applyFill="1"/>
    <xf numFmtId="4" fontId="61" fillId="2" borderId="0" xfId="5" applyNumberFormat="1" applyFill="1" applyBorder="1"/>
    <xf numFmtId="0" fontId="62" fillId="2" borderId="4" xfId="5" applyFont="1" applyFill="1" applyBorder="1" applyAlignment="1"/>
    <xf numFmtId="4" fontId="62" fillId="2" borderId="0" xfId="5" applyNumberFormat="1" applyFont="1" applyFill="1" applyBorder="1" applyAlignment="1"/>
    <xf numFmtId="49" fontId="62" fillId="2" borderId="1" xfId="5" applyNumberFormat="1" applyFont="1" applyFill="1" applyBorder="1" applyAlignment="1">
      <alignment vertical="center" wrapText="1"/>
    </xf>
    <xf numFmtId="0" fontId="63" fillId="2" borderId="1" xfId="5" applyFont="1" applyFill="1" applyBorder="1" applyAlignment="1">
      <alignment horizontal="left"/>
    </xf>
    <xf numFmtId="0" fontId="61" fillId="2" borderId="1" xfId="5" applyFill="1" applyBorder="1"/>
    <xf numFmtId="0" fontId="94" fillId="0" borderId="1" xfId="0" applyFont="1" applyBorder="1" applyAlignment="1">
      <alignment horizontal="center" vertical="center" wrapText="1"/>
    </xf>
    <xf numFmtId="0" fontId="28" fillId="0" borderId="9" xfId="0" applyFont="1" applyFill="1" applyBorder="1" applyAlignment="1">
      <alignment horizontal="left" vertical="center" wrapText="1"/>
    </xf>
    <xf numFmtId="0" fontId="28" fillId="0" borderId="10" xfId="0" applyFont="1" applyFill="1" applyBorder="1" applyAlignment="1">
      <alignment horizontal="center" vertical="center" wrapText="1"/>
    </xf>
    <xf numFmtId="4" fontId="0" fillId="0" borderId="50" xfId="0" applyNumberFormat="1" applyFill="1" applyBorder="1" applyAlignment="1">
      <alignment horizontal="left" vertical="top"/>
    </xf>
    <xf numFmtId="4" fontId="0" fillId="0" borderId="49" xfId="0" applyNumberFormat="1" applyFill="1" applyBorder="1" applyAlignment="1">
      <alignment horizontal="left" vertical="top" wrapText="1"/>
    </xf>
    <xf numFmtId="4" fontId="53" fillId="0" borderId="16" xfId="0" applyNumberFormat="1" applyFont="1" applyFill="1" applyBorder="1" applyAlignment="1">
      <alignment horizontal="right" vertical="center"/>
    </xf>
    <xf numFmtId="4" fontId="34" fillId="0" borderId="14" xfId="0" applyNumberFormat="1" applyFont="1" applyFill="1" applyBorder="1" applyAlignment="1">
      <alignment horizontal="right" vertical="center"/>
    </xf>
    <xf numFmtId="4" fontId="53" fillId="0" borderId="8" xfId="0" applyNumberFormat="1" applyFont="1" applyFill="1" applyBorder="1" applyAlignment="1">
      <alignment horizontal="right" vertical="center"/>
    </xf>
    <xf numFmtId="4" fontId="34" fillId="0" borderId="39" xfId="0" applyNumberFormat="1" applyFont="1" applyFill="1" applyBorder="1" applyAlignment="1">
      <alignment horizontal="right" vertical="center"/>
    </xf>
    <xf numFmtId="4" fontId="28" fillId="0" borderId="14" xfId="0" applyNumberFormat="1" applyFont="1" applyFill="1" applyBorder="1" applyAlignment="1">
      <alignment horizontal="right" vertical="center"/>
    </xf>
    <xf numFmtId="4" fontId="53" fillId="0" borderId="39" xfId="0" applyNumberFormat="1" applyFont="1" applyFill="1" applyBorder="1" applyAlignment="1">
      <alignment horizontal="right" vertical="center"/>
    </xf>
    <xf numFmtId="0" fontId="70" fillId="0" borderId="16" xfId="0" applyFont="1" applyFill="1" applyBorder="1" applyAlignment="1">
      <alignment horizontal="left" vertical="center" wrapText="1"/>
    </xf>
    <xf numFmtId="0" fontId="29" fillId="0" borderId="9" xfId="0" applyNumberFormat="1" applyFont="1" applyFill="1" applyBorder="1" applyAlignment="1">
      <alignment horizontal="center"/>
    </xf>
    <xf numFmtId="4" fontId="53" fillId="2" borderId="1" xfId="0" applyNumberFormat="1" applyFont="1" applyFill="1" applyBorder="1" applyAlignment="1">
      <alignment horizontal="right" vertical="center"/>
    </xf>
    <xf numFmtId="4" fontId="28" fillId="0" borderId="9" xfId="0" applyNumberFormat="1" applyFont="1" applyFill="1" applyBorder="1" applyAlignment="1">
      <alignment vertical="top" wrapText="1"/>
    </xf>
    <xf numFmtId="4" fontId="28" fillId="0" borderId="8" xfId="0" applyNumberFormat="1" applyFont="1" applyFill="1" applyBorder="1" applyAlignment="1">
      <alignment vertical="center"/>
    </xf>
    <xf numFmtId="0" fontId="28" fillId="0" borderId="1" xfId="0" applyFont="1" applyBorder="1" applyAlignment="1">
      <alignment horizontal="left" vertical="center" wrapText="1"/>
    </xf>
    <xf numFmtId="4" fontId="28" fillId="0" borderId="1" xfId="0" applyNumberFormat="1" applyFont="1" applyFill="1" applyBorder="1" applyAlignment="1">
      <alignment horizontal="center" vertical="center" wrapText="1"/>
    </xf>
    <xf numFmtId="4" fontId="28" fillId="0" borderId="36" xfId="0" applyNumberFormat="1" applyFont="1" applyFill="1" applyBorder="1" applyAlignment="1">
      <alignment horizontal="left" vertical="top" wrapText="1"/>
    </xf>
    <xf numFmtId="4" fontId="28" fillId="0" borderId="1" xfId="0" applyNumberFormat="1" applyFont="1" applyFill="1" applyBorder="1" applyAlignment="1">
      <alignment horizontal="left" vertical="top" wrapText="1"/>
    </xf>
    <xf numFmtId="4" fontId="28" fillId="0" borderId="30" xfId="0" applyNumberFormat="1" applyFont="1" applyFill="1" applyBorder="1" applyAlignment="1">
      <alignment horizontal="center" vertical="center" wrapText="1"/>
    </xf>
    <xf numFmtId="4" fontId="28" fillId="0" borderId="30" xfId="0" applyNumberFormat="1" applyFont="1" applyFill="1" applyBorder="1" applyAlignment="1">
      <alignment horizontal="left" vertical="top" wrapText="1"/>
    </xf>
    <xf numFmtId="0" fontId="28" fillId="0" borderId="28" xfId="0" applyFont="1" applyFill="1" applyBorder="1" applyAlignment="1">
      <alignment vertical="top" wrapText="1"/>
    </xf>
    <xf numFmtId="0" fontId="63" fillId="2" borderId="1" xfId="0" applyFont="1" applyFill="1" applyBorder="1" applyAlignment="1">
      <alignment horizontal="center" vertical="center" wrapText="1"/>
    </xf>
    <xf numFmtId="0" fontId="63" fillId="5" borderId="1" xfId="5" applyFont="1" applyFill="1" applyBorder="1"/>
    <xf numFmtId="4" fontId="63" fillId="5" borderId="1" xfId="5" applyNumberFormat="1" applyFont="1" applyFill="1" applyBorder="1" applyAlignment="1">
      <alignment horizontal="center" vertical="center" wrapText="1"/>
    </xf>
    <xf numFmtId="49" fontId="62" fillId="5" borderId="1" xfId="5" applyNumberFormat="1" applyFont="1" applyFill="1" applyBorder="1" applyAlignment="1">
      <alignment vertical="center" wrapText="1"/>
    </xf>
    <xf numFmtId="0" fontId="93" fillId="2" borderId="0" xfId="0" applyFont="1" applyFill="1" applyAlignment="1">
      <alignment vertical="center" wrapText="1"/>
    </xf>
    <xf numFmtId="0" fontId="73" fillId="5" borderId="1" xfId="0" applyFont="1" applyFill="1" applyBorder="1" applyAlignment="1">
      <alignment wrapText="1"/>
    </xf>
    <xf numFmtId="4" fontId="73" fillId="5" borderId="1" xfId="0" applyNumberFormat="1" applyFont="1" applyFill="1" applyBorder="1" applyAlignment="1">
      <alignment vertical="center"/>
    </xf>
    <xf numFmtId="0" fontId="73" fillId="2" borderId="1" xfId="0" applyFont="1" applyFill="1" applyBorder="1" applyAlignment="1">
      <alignment horizontal="center" vertical="center" wrapText="1"/>
    </xf>
    <xf numFmtId="0" fontId="68" fillId="2" borderId="1" xfId="0" applyFont="1" applyFill="1" applyBorder="1" applyAlignment="1">
      <alignment horizontal="left" vertical="center" wrapText="1"/>
    </xf>
    <xf numFmtId="0" fontId="51" fillId="2" borderId="1" xfId="0" applyFont="1" applyFill="1" applyBorder="1" applyAlignment="1">
      <alignment horizontal="left" vertical="center" wrapText="1"/>
    </xf>
    <xf numFmtId="0" fontId="62" fillId="2" borderId="0" xfId="0" applyFont="1" applyFill="1" applyAlignment="1">
      <alignment horizontal="center"/>
    </xf>
    <xf numFmtId="4" fontId="29" fillId="5" borderId="10" xfId="0" applyNumberFormat="1" applyFont="1" applyFill="1" applyBorder="1" applyAlignment="1">
      <alignment horizontal="right" vertical="center"/>
    </xf>
    <xf numFmtId="4" fontId="29" fillId="5" borderId="8" xfId="0" applyNumberFormat="1" applyFont="1" applyFill="1" applyBorder="1" applyAlignment="1">
      <alignment horizontal="right" vertical="center"/>
    </xf>
    <xf numFmtId="4" fontId="100"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xf>
    <xf numFmtId="4" fontId="28" fillId="0" borderId="9" xfId="0" applyNumberFormat="1" applyFont="1" applyFill="1" applyBorder="1" applyAlignment="1">
      <alignment horizontal="center" vertical="center"/>
    </xf>
    <xf numFmtId="0" fontId="28" fillId="0" borderId="10"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9" fillId="0" borderId="10"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2" xfId="0" applyFont="1" applyFill="1" applyBorder="1" applyAlignment="1">
      <alignment horizontal="center" vertical="center"/>
    </xf>
    <xf numFmtId="4" fontId="28" fillId="0" borderId="52" xfId="0" applyNumberFormat="1" applyFont="1" applyFill="1" applyBorder="1" applyAlignment="1">
      <alignment horizontal="left" vertical="top" wrapText="1"/>
    </xf>
    <xf numFmtId="4" fontId="28" fillId="0" borderId="12" xfId="0" applyNumberFormat="1" applyFont="1" applyFill="1" applyBorder="1" applyAlignment="1">
      <alignment horizontal="left" vertical="top" wrapText="1"/>
    </xf>
    <xf numFmtId="0" fontId="29" fillId="0" borderId="3" xfId="0" applyFont="1" applyFill="1" applyBorder="1" applyAlignment="1">
      <alignment horizontal="center" vertical="center"/>
    </xf>
    <xf numFmtId="0" fontId="90" fillId="2" borderId="0" xfId="0" applyFont="1" applyFill="1" applyAlignment="1">
      <alignment vertical="center"/>
    </xf>
    <xf numFmtId="0" fontId="77" fillId="2" borderId="0" xfId="0" applyFont="1" applyFill="1" applyAlignment="1">
      <alignment vertical="center"/>
    </xf>
    <xf numFmtId="0" fontId="62" fillId="2" borderId="0" xfId="0" applyFont="1" applyFill="1" applyAlignment="1"/>
    <xf numFmtId="49" fontId="49" fillId="0" borderId="1" xfId="5" applyNumberFormat="1" applyFont="1" applyFill="1" applyBorder="1" applyAlignment="1">
      <alignment horizontal="center"/>
    </xf>
    <xf numFmtId="4" fontId="49" fillId="0" borderId="1" xfId="5" applyNumberFormat="1" applyFont="1" applyFill="1" applyBorder="1" applyAlignment="1">
      <alignment horizontal="center"/>
    </xf>
    <xf numFmtId="4" fontId="49" fillId="2" borderId="1" xfId="5" applyNumberFormat="1" applyFont="1" applyFill="1" applyBorder="1" applyAlignment="1">
      <alignment horizontal="center"/>
    </xf>
    <xf numFmtId="0" fontId="29" fillId="11" borderId="1" xfId="0" applyFont="1" applyFill="1" applyBorder="1" applyAlignment="1">
      <alignment horizontal="center" vertical="center"/>
    </xf>
    <xf numFmtId="0" fontId="29" fillId="11" borderId="1" xfId="0" applyFont="1" applyFill="1" applyBorder="1" applyAlignment="1">
      <alignment vertical="center" wrapText="1"/>
    </xf>
    <xf numFmtId="0" fontId="29" fillId="11" borderId="7" xfId="0" applyFont="1" applyFill="1" applyBorder="1" applyAlignment="1">
      <alignment horizontal="center" vertical="center" wrapText="1"/>
    </xf>
    <xf numFmtId="4" fontId="29" fillId="11" borderId="1" xfId="0" applyNumberFormat="1" applyFont="1" applyFill="1" applyBorder="1" applyAlignment="1">
      <alignment horizontal="right" vertical="center"/>
    </xf>
    <xf numFmtId="4" fontId="29" fillId="0" borderId="12" xfId="0" applyNumberFormat="1" applyFont="1" applyFill="1" applyBorder="1" applyAlignment="1">
      <alignment horizontal="right" vertical="center"/>
    </xf>
    <xf numFmtId="4" fontId="29" fillId="0" borderId="39" xfId="0" applyNumberFormat="1" applyFont="1" applyFill="1" applyBorder="1" applyAlignment="1">
      <alignment horizontal="right" vertical="center" wrapText="1"/>
    </xf>
    <xf numFmtId="4" fontId="29" fillId="2" borderId="12" xfId="0" applyNumberFormat="1" applyFont="1" applyFill="1" applyBorder="1" applyAlignment="1">
      <alignment horizontal="right" vertical="center"/>
    </xf>
    <xf numFmtId="4" fontId="29" fillId="0" borderId="16" xfId="0" applyNumberFormat="1" applyFont="1" applyFill="1" applyBorder="1" applyAlignment="1">
      <alignment horizontal="right" vertical="center"/>
    </xf>
    <xf numFmtId="0" fontId="28" fillId="0" borderId="15" xfId="0" applyFont="1" applyFill="1" applyBorder="1" applyAlignment="1">
      <alignment horizontal="center" vertical="center"/>
    </xf>
    <xf numFmtId="4" fontId="28" fillId="2" borderId="14" xfId="0" applyNumberFormat="1" applyFont="1" applyFill="1" applyBorder="1" applyAlignment="1">
      <alignment horizontal="right" vertical="center"/>
    </xf>
    <xf numFmtId="0" fontId="97" fillId="0" borderId="0" xfId="0" applyFont="1" applyAlignment="1">
      <alignment horizontal="center" vertical="center"/>
    </xf>
    <xf numFmtId="0" fontId="98" fillId="0" borderId="0" xfId="0" applyFont="1" applyAlignment="1">
      <alignment horizontal="left" vertical="center"/>
    </xf>
    <xf numFmtId="4" fontId="28" fillId="0" borderId="0" xfId="0" applyNumberFormat="1" applyFont="1" applyAlignment="1">
      <alignment horizontal="center" vertical="center"/>
    </xf>
    <xf numFmtId="0" fontId="29" fillId="0" borderId="10" xfId="0" applyFont="1" applyFill="1" applyBorder="1" applyAlignment="1">
      <alignment horizontal="center" vertical="center"/>
    </xf>
    <xf numFmtId="0" fontId="29" fillId="0" borderId="2" xfId="0" applyFont="1" applyFill="1" applyBorder="1" applyAlignment="1">
      <alignment horizontal="center" vertical="center"/>
    </xf>
    <xf numFmtId="0" fontId="28" fillId="0" borderId="0" xfId="0" applyFont="1" applyFill="1" applyBorder="1" applyAlignment="1">
      <alignment horizontal="left" vertical="center" wrapText="1"/>
    </xf>
    <xf numFmtId="4" fontId="91" fillId="0" borderId="36" xfId="0" applyNumberFormat="1" applyFont="1" applyFill="1" applyBorder="1" applyAlignment="1">
      <alignment horizontal="left" vertical="top" wrapText="1"/>
    </xf>
    <xf numFmtId="0" fontId="97" fillId="0" borderId="0" xfId="0" applyFont="1" applyAlignment="1">
      <alignment horizontal="center" vertical="center"/>
    </xf>
    <xf numFmtId="0" fontId="98" fillId="0" borderId="0" xfId="0" applyFont="1" applyAlignment="1">
      <alignment horizontal="left" vertical="center"/>
    </xf>
    <xf numFmtId="4" fontId="28" fillId="0" borderId="0" xfId="0" applyNumberFormat="1" applyFont="1" applyAlignment="1">
      <alignment horizontal="center" vertical="center"/>
    </xf>
    <xf numFmtId="4" fontId="29" fillId="11" borderId="7" xfId="0" applyNumberFormat="1" applyFont="1" applyFill="1" applyBorder="1" applyAlignment="1">
      <alignment horizontal="right" vertical="center" wrapText="1"/>
    </xf>
    <xf numFmtId="4" fontId="28" fillId="0" borderId="0" xfId="0" applyNumberFormat="1" applyFont="1" applyFill="1" applyBorder="1" applyAlignment="1">
      <alignment horizontal="center" vertical="top" wrapText="1"/>
    </xf>
    <xf numFmtId="0" fontId="28" fillId="0" borderId="0" xfId="0" applyFont="1" applyFill="1" applyBorder="1" applyAlignment="1">
      <alignment horizontal="center" vertical="top" wrapText="1"/>
    </xf>
    <xf numFmtId="4" fontId="28" fillId="0" borderId="0" xfId="0" applyNumberFormat="1" applyFont="1" applyFill="1" applyBorder="1" applyAlignment="1">
      <alignment horizontal="center" vertical="center" wrapText="1"/>
    </xf>
    <xf numFmtId="0" fontId="29" fillId="11" borderId="9" xfId="0" applyFont="1" applyFill="1" applyBorder="1" applyAlignment="1">
      <alignment vertical="center" wrapText="1"/>
    </xf>
    <xf numFmtId="4" fontId="29" fillId="11" borderId="9" xfId="0" applyNumberFormat="1" applyFont="1" applyFill="1" applyBorder="1" applyAlignment="1">
      <alignment vertical="center" wrapText="1"/>
    </xf>
    <xf numFmtId="0" fontId="29" fillId="12" borderId="8" xfId="0" applyFont="1" applyFill="1" applyBorder="1" applyAlignment="1">
      <alignment horizontal="center" vertical="center"/>
    </xf>
    <xf numFmtId="0" fontId="29" fillId="12" borderId="8" xfId="0" applyFont="1" applyFill="1" applyBorder="1" applyAlignment="1">
      <alignment horizontal="left" vertical="top" wrapText="1"/>
    </xf>
    <xf numFmtId="0" fontId="29" fillId="12" borderId="8" xfId="0" applyFont="1" applyFill="1" applyBorder="1" applyAlignment="1">
      <alignment horizontal="center" vertical="center" wrapText="1"/>
    </xf>
    <xf numFmtId="4" fontId="29" fillId="12" borderId="8" xfId="0" applyNumberFormat="1" applyFont="1" applyFill="1" applyBorder="1" applyAlignment="1">
      <alignment horizontal="right" vertical="center" wrapText="1"/>
    </xf>
    <xf numFmtId="4" fontId="29" fillId="12" borderId="8" xfId="0" applyNumberFormat="1" applyFont="1" applyFill="1" applyBorder="1" applyAlignment="1">
      <alignment horizontal="right" vertical="center"/>
    </xf>
    <xf numFmtId="4" fontId="29" fillId="12" borderId="8" xfId="0" applyNumberFormat="1" applyFont="1" applyFill="1" applyBorder="1" applyAlignment="1">
      <alignment horizontal="center" vertical="center"/>
    </xf>
    <xf numFmtId="0" fontId="62" fillId="0" borderId="1" xfId="5" applyFont="1" applyFill="1" applyBorder="1" applyAlignment="1">
      <alignment horizontal="center" vertical="center" wrapText="1"/>
    </xf>
    <xf numFmtId="4" fontId="28" fillId="0" borderId="9" xfId="0" applyNumberFormat="1" applyFont="1" applyFill="1" applyBorder="1" applyAlignment="1">
      <alignment horizontal="center" vertical="center"/>
    </xf>
    <xf numFmtId="4" fontId="28" fillId="0" borderId="0" xfId="0" applyNumberFormat="1" applyFont="1" applyAlignment="1">
      <alignment horizontal="center" vertical="center"/>
    </xf>
    <xf numFmtId="0" fontId="29" fillId="0" borderId="1" xfId="0" applyFont="1" applyFill="1" applyBorder="1" applyAlignment="1">
      <alignment horizontal="center" vertical="center"/>
    </xf>
    <xf numFmtId="0" fontId="29" fillId="0" borderId="1" xfId="0" applyFont="1" applyFill="1" applyBorder="1" applyAlignment="1">
      <alignment horizontal="left" vertical="top" wrapText="1"/>
    </xf>
    <xf numFmtId="4" fontId="29" fillId="0" borderId="7" xfId="0" applyNumberFormat="1" applyFont="1" applyFill="1" applyBorder="1" applyAlignment="1">
      <alignment horizontal="center" vertical="center"/>
    </xf>
    <xf numFmtId="4" fontId="28" fillId="0" borderId="51" xfId="0" applyNumberFormat="1" applyFont="1" applyFill="1" applyBorder="1" applyAlignment="1">
      <alignment horizontal="left" vertical="top" wrapText="1"/>
    </xf>
    <xf numFmtId="4" fontId="28" fillId="0" borderId="16" xfId="0" applyNumberFormat="1" applyFont="1" applyFill="1" applyBorder="1" applyAlignment="1">
      <alignment vertical="top" wrapText="1"/>
    </xf>
    <xf numFmtId="4" fontId="28" fillId="0" borderId="10" xfId="0" applyNumberFormat="1" applyFont="1" applyFill="1" applyBorder="1" applyAlignment="1">
      <alignment vertical="center"/>
    </xf>
    <xf numFmtId="0" fontId="70" fillId="0" borderId="0" xfId="0" applyFont="1" applyAlignment="1">
      <alignment vertical="center"/>
    </xf>
    <xf numFmtId="0" fontId="0" fillId="0" borderId="0" xfId="0" applyAlignment="1">
      <alignment vertical="center"/>
    </xf>
    <xf numFmtId="0" fontId="73" fillId="0" borderId="0" xfId="0" applyFont="1" applyAlignment="1">
      <alignment horizontal="left" vertical="center"/>
    </xf>
    <xf numFmtId="0" fontId="73" fillId="0" borderId="0" xfId="0" applyFont="1" applyAlignment="1">
      <alignment horizontal="center" vertical="center"/>
    </xf>
    <xf numFmtId="0" fontId="73" fillId="0" borderId="0" xfId="0" applyFont="1" applyAlignment="1">
      <alignment vertical="center" wrapText="1"/>
    </xf>
    <xf numFmtId="0" fontId="98" fillId="0" borderId="0" xfId="0" applyFont="1" applyAlignment="1">
      <alignment horizontal="left" vertical="top"/>
    </xf>
    <xf numFmtId="4" fontId="62" fillId="0" borderId="1" xfId="5" applyNumberFormat="1" applyFont="1" applyFill="1" applyBorder="1" applyAlignment="1">
      <alignment horizontal="center" vertical="center" wrapText="1"/>
    </xf>
    <xf numFmtId="0" fontId="62" fillId="0" borderId="1" xfId="5" applyFont="1" applyFill="1" applyBorder="1" applyAlignment="1">
      <alignment horizontal="center" vertical="center" wrapText="1"/>
    </xf>
    <xf numFmtId="0" fontId="62" fillId="0" borderId="1" xfId="5" applyFont="1" applyFill="1" applyBorder="1" applyAlignment="1">
      <alignment horizontal="center" vertical="center"/>
    </xf>
    <xf numFmtId="0" fontId="73" fillId="0" borderId="0" xfId="0" applyFont="1" applyAlignment="1">
      <alignment horizontal="left" vertical="center"/>
    </xf>
    <xf numFmtId="4" fontId="29" fillId="3" borderId="1" xfId="0" applyNumberFormat="1" applyFont="1" applyFill="1" applyBorder="1" applyAlignment="1">
      <alignment horizontal="right" vertical="center" wrapText="1"/>
    </xf>
    <xf numFmtId="4" fontId="0" fillId="2" borderId="1" xfId="0" applyNumberFormat="1" applyFill="1" applyBorder="1" applyAlignment="1">
      <alignment wrapText="1"/>
    </xf>
    <xf numFmtId="4" fontId="28" fillId="0" borderId="10" xfId="0" applyNumberFormat="1" applyFont="1" applyFill="1" applyBorder="1" applyAlignment="1">
      <alignment horizontal="center" vertical="center" wrapText="1"/>
    </xf>
    <xf numFmtId="4" fontId="28" fillId="0" borderId="1" xfId="0" applyNumberFormat="1" applyFont="1" applyFill="1" applyBorder="1" applyAlignment="1">
      <alignment horizontal="center" vertical="center" wrapText="1"/>
    </xf>
    <xf numFmtId="4" fontId="91" fillId="0" borderId="33" xfId="0" applyNumberFormat="1" applyFont="1" applyFill="1" applyBorder="1" applyAlignment="1">
      <alignment horizontal="left" vertical="center" wrapText="1"/>
    </xf>
    <xf numFmtId="4" fontId="28" fillId="0" borderId="10" xfId="0" applyNumberFormat="1" applyFont="1" applyFill="1" applyBorder="1" applyAlignment="1">
      <alignment horizontal="left" vertical="top" wrapText="1"/>
    </xf>
    <xf numFmtId="4" fontId="91" fillId="0" borderId="0" xfId="0" applyNumberFormat="1" applyFont="1" applyFill="1"/>
    <xf numFmtId="4" fontId="91" fillId="0" borderId="0" xfId="0" applyNumberFormat="1" applyFont="1"/>
    <xf numFmtId="4" fontId="91" fillId="0" borderId="0" xfId="0" applyNumberFormat="1" applyFont="1" applyFill="1" applyAlignment="1">
      <alignment horizontal="center" vertical="center"/>
    </xf>
    <xf numFmtId="4" fontId="91" fillId="0" borderId="43" xfId="0" applyNumberFormat="1" applyFont="1" applyFill="1" applyBorder="1" applyAlignment="1">
      <alignment horizontal="left" vertical="top" wrapText="1"/>
    </xf>
    <xf numFmtId="4" fontId="91" fillId="0" borderId="0" xfId="0" applyNumberFormat="1" applyFont="1" applyFill="1" applyAlignment="1">
      <alignment horizontal="left" vertical="top" wrapText="1"/>
    </xf>
    <xf numFmtId="0" fontId="28" fillId="0" borderId="0" xfId="0" applyFont="1" applyAlignment="1">
      <alignment horizontal="left" vertical="top" wrapText="1"/>
    </xf>
    <xf numFmtId="4" fontId="28" fillId="0" borderId="0" xfId="0" applyNumberFormat="1" applyFont="1" applyAlignment="1">
      <alignment horizontal="center" vertical="center"/>
    </xf>
    <xf numFmtId="4" fontId="28" fillId="0" borderId="9" xfId="0" applyNumberFormat="1" applyFont="1" applyFill="1" applyBorder="1" applyAlignment="1">
      <alignment horizontal="center" vertical="center"/>
    </xf>
    <xf numFmtId="4" fontId="28" fillId="0" borderId="8" xfId="0" applyNumberFormat="1" applyFont="1" applyFill="1" applyBorder="1" applyAlignment="1">
      <alignment horizontal="center" vertical="center"/>
    </xf>
    <xf numFmtId="0" fontId="102" fillId="0" borderId="0" xfId="0" applyFont="1" applyAlignment="1">
      <alignment horizontal="left" vertical="center"/>
    </xf>
    <xf numFmtId="0" fontId="102" fillId="0" borderId="0" xfId="0" applyFont="1" applyAlignment="1">
      <alignment horizontal="center" vertical="center"/>
    </xf>
    <xf numFmtId="0" fontId="102" fillId="0" borderId="0" xfId="0" applyFont="1" applyAlignment="1">
      <alignment vertical="center" wrapText="1"/>
    </xf>
    <xf numFmtId="3" fontId="28" fillId="0" borderId="9" xfId="0" applyNumberFormat="1" applyFont="1" applyFill="1" applyBorder="1" applyAlignment="1">
      <alignment horizontal="center" vertical="center"/>
    </xf>
    <xf numFmtId="4" fontId="28" fillId="0" borderId="14" xfId="0" applyNumberFormat="1" applyFont="1" applyFill="1" applyBorder="1" applyAlignment="1">
      <alignment vertical="top" wrapText="1"/>
    </xf>
    <xf numFmtId="0" fontId="29" fillId="0" borderId="10" xfId="0" applyFont="1" applyFill="1" applyBorder="1" applyAlignment="1">
      <alignment horizontal="center" vertical="center"/>
    </xf>
    <xf numFmtId="4" fontId="28" fillId="0" borderId="41" xfId="0" applyNumberFormat="1" applyFont="1" applyFill="1" applyBorder="1" applyAlignment="1">
      <alignment horizontal="left" vertical="top" wrapText="1"/>
    </xf>
    <xf numFmtId="4" fontId="28" fillId="0" borderId="41" xfId="0" applyNumberFormat="1" applyFont="1" applyFill="1" applyBorder="1" applyAlignment="1">
      <alignment horizontal="center" vertical="center" wrapText="1"/>
    </xf>
    <xf numFmtId="4" fontId="28" fillId="0" borderId="48" xfId="0" applyNumberFormat="1" applyFont="1" applyFill="1" applyBorder="1" applyAlignment="1">
      <alignment horizontal="left" vertical="top" wrapText="1"/>
    </xf>
    <xf numFmtId="0" fontId="28" fillId="0" borderId="37" xfId="0" applyFont="1" applyFill="1" applyBorder="1" applyAlignment="1">
      <alignment horizontal="center" vertical="top" wrapText="1"/>
    </xf>
    <xf numFmtId="4" fontId="28" fillId="0" borderId="0" xfId="0" applyNumberFormat="1" applyFont="1" applyFill="1" applyBorder="1" applyAlignment="1">
      <alignment horizontal="center" vertical="top" wrapText="1"/>
    </xf>
    <xf numFmtId="0" fontId="29" fillId="0" borderId="1" xfId="0" applyNumberFormat="1" applyFont="1" applyFill="1" applyBorder="1" applyAlignment="1">
      <alignment horizontal="center" vertical="center"/>
    </xf>
    <xf numFmtId="4" fontId="29" fillId="0" borderId="1" xfId="0" applyNumberFormat="1" applyFont="1" applyFill="1" applyBorder="1" applyAlignment="1">
      <alignment horizontal="left" vertical="center" wrapText="1"/>
    </xf>
    <xf numFmtId="0" fontId="28" fillId="0" borderId="9" xfId="0" applyFont="1" applyFill="1" applyBorder="1" applyAlignment="1">
      <alignment horizontal="center" vertical="center" wrapText="1"/>
    </xf>
    <xf numFmtId="4" fontId="28" fillId="0" borderId="45" xfId="0" applyNumberFormat="1" applyFont="1" applyFill="1" applyBorder="1" applyAlignment="1">
      <alignment vertical="top" wrapText="1"/>
    </xf>
    <xf numFmtId="4" fontId="28" fillId="0" borderId="45" xfId="0" applyNumberFormat="1" applyFont="1" applyFill="1" applyBorder="1" applyAlignment="1">
      <alignment vertical="center"/>
    </xf>
    <xf numFmtId="4" fontId="28" fillId="2" borderId="8" xfId="0" applyNumberFormat="1" applyFont="1" applyFill="1" applyBorder="1" applyAlignment="1">
      <alignment horizontal="right" vertical="center"/>
    </xf>
    <xf numFmtId="0" fontId="28" fillId="0" borderId="9"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9" fillId="0" borderId="10" xfId="0" applyFont="1" applyFill="1" applyBorder="1" applyAlignment="1">
      <alignment horizontal="center" vertical="center"/>
    </xf>
    <xf numFmtId="4" fontId="28" fillId="0" borderId="45" xfId="0" applyNumberFormat="1" applyFont="1" applyFill="1" applyBorder="1" applyAlignment="1">
      <alignment horizontal="center" vertical="center"/>
    </xf>
    <xf numFmtId="4" fontId="28" fillId="0" borderId="9" xfId="0" applyNumberFormat="1" applyFont="1" applyFill="1" applyBorder="1" applyAlignment="1">
      <alignment horizontal="center" vertical="center"/>
    </xf>
    <xf numFmtId="4" fontId="28" fillId="0" borderId="1" xfId="0" applyNumberFormat="1" applyFont="1" applyFill="1" applyBorder="1" applyAlignment="1">
      <alignment horizontal="left" vertical="top" wrapText="1"/>
    </xf>
    <xf numFmtId="4" fontId="28" fillId="0" borderId="22" xfId="0" applyNumberFormat="1" applyFont="1" applyFill="1" applyBorder="1" applyAlignment="1">
      <alignment horizontal="left" vertical="top" wrapText="1"/>
    </xf>
    <xf numFmtId="4" fontId="28" fillId="0" borderId="10" xfId="0" applyNumberFormat="1" applyFont="1" applyFill="1" applyBorder="1" applyAlignment="1">
      <alignment horizontal="left" vertical="top" wrapText="1"/>
    </xf>
    <xf numFmtId="4" fontId="28" fillId="0" borderId="10" xfId="0" applyNumberFormat="1" applyFont="1" applyFill="1" applyBorder="1" applyAlignment="1">
      <alignment horizontal="center" vertical="center"/>
    </xf>
    <xf numFmtId="4" fontId="28" fillId="0" borderId="33" xfId="0" applyNumberFormat="1" applyFont="1" applyFill="1" applyBorder="1" applyAlignment="1">
      <alignment horizontal="center" vertical="center"/>
    </xf>
    <xf numFmtId="0" fontId="28" fillId="0" borderId="10"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8" fillId="0" borderId="8" xfId="0" applyFont="1" applyFill="1" applyBorder="1" applyAlignment="1">
      <alignment horizontal="center" vertical="center" wrapText="1"/>
    </xf>
    <xf numFmtId="4" fontId="28" fillId="0" borderId="47" xfId="0" applyNumberFormat="1" applyFont="1" applyFill="1" applyBorder="1" applyAlignment="1">
      <alignment horizontal="center" vertical="center"/>
    </xf>
    <xf numFmtId="4" fontId="28" fillId="0" borderId="28" xfId="0" applyNumberFormat="1" applyFont="1" applyFill="1" applyBorder="1" applyAlignment="1">
      <alignment horizontal="center" vertical="center"/>
    </xf>
    <xf numFmtId="4" fontId="28" fillId="0" borderId="28" xfId="0" applyNumberFormat="1" applyFont="1" applyFill="1" applyBorder="1" applyAlignment="1">
      <alignment horizontal="left" vertical="top" wrapText="1"/>
    </xf>
    <xf numFmtId="4" fontId="28" fillId="0" borderId="49" xfId="0" applyNumberFormat="1" applyFont="1" applyFill="1" applyBorder="1" applyAlignment="1">
      <alignment horizontal="left" vertical="top" wrapText="1"/>
    </xf>
    <xf numFmtId="4" fontId="28" fillId="0" borderId="16" xfId="0" applyNumberFormat="1" applyFont="1" applyFill="1" applyBorder="1" applyAlignment="1">
      <alignment horizontal="left" vertical="top" wrapText="1"/>
    </xf>
    <xf numFmtId="4" fontId="28" fillId="0" borderId="12" xfId="0" applyNumberFormat="1" applyFont="1" applyFill="1" applyBorder="1" applyAlignment="1">
      <alignment horizontal="left" vertical="top" wrapText="1"/>
    </xf>
    <xf numFmtId="4" fontId="28" fillId="0" borderId="36" xfId="0" applyNumberFormat="1" applyFont="1" applyFill="1" applyBorder="1" applyAlignment="1">
      <alignment horizontal="center" vertical="center"/>
    </xf>
    <xf numFmtId="4" fontId="28" fillId="0" borderId="1" xfId="0" applyNumberFormat="1" applyFont="1" applyFill="1" applyBorder="1" applyAlignment="1">
      <alignment horizontal="center" vertical="center"/>
    </xf>
    <xf numFmtId="4" fontId="28" fillId="0" borderId="40" xfId="0" applyNumberFormat="1" applyFont="1" applyFill="1" applyBorder="1" applyAlignment="1">
      <alignment horizontal="center" vertical="center"/>
    </xf>
    <xf numFmtId="4" fontId="28" fillId="0" borderId="22" xfId="0" applyNumberFormat="1" applyFont="1" applyFill="1" applyBorder="1" applyAlignment="1">
      <alignment horizontal="center" vertical="center"/>
    </xf>
    <xf numFmtId="4" fontId="28" fillId="0" borderId="50" xfId="0" applyNumberFormat="1" applyFont="1" applyFill="1" applyBorder="1" applyAlignment="1">
      <alignment horizontal="left" vertical="top" wrapText="1"/>
    </xf>
    <xf numFmtId="0" fontId="29" fillId="0" borderId="10" xfId="0" applyFont="1" applyFill="1" applyBorder="1" applyAlignment="1">
      <alignment horizontal="center" vertical="center"/>
    </xf>
    <xf numFmtId="4" fontId="28" fillId="0" borderId="15" xfId="0" applyNumberFormat="1" applyFont="1" applyFill="1" applyBorder="1" applyAlignment="1">
      <alignment horizontal="right" vertical="center" wrapText="1"/>
    </xf>
    <xf numFmtId="4" fontId="66" fillId="0" borderId="0" xfId="0" applyNumberFormat="1" applyFont="1" applyFill="1" applyBorder="1"/>
    <xf numFmtId="4" fontId="66" fillId="0" borderId="0" xfId="0" applyNumberFormat="1" applyFont="1" applyFill="1"/>
    <xf numFmtId="0" fontId="66" fillId="0" borderId="0" xfId="0" applyFont="1" applyFill="1"/>
    <xf numFmtId="0" fontId="28" fillId="0" borderId="14" xfId="0" applyFont="1" applyFill="1" applyBorder="1" applyAlignment="1">
      <alignment horizontal="center" vertical="center"/>
    </xf>
    <xf numFmtId="0" fontId="28" fillId="0" borderId="9" xfId="0" applyFont="1" applyFill="1" applyBorder="1" applyAlignment="1">
      <alignment horizontal="center" vertical="center" wrapText="1"/>
    </xf>
    <xf numFmtId="0" fontId="29" fillId="0" borderId="1" xfId="0" applyFont="1" applyFill="1" applyBorder="1" applyAlignment="1">
      <alignment horizontal="center" vertical="center"/>
    </xf>
    <xf numFmtId="0" fontId="70" fillId="0" borderId="9" xfId="0" applyFont="1" applyFill="1" applyBorder="1" applyAlignment="1">
      <alignment horizontal="center" vertical="center" wrapText="1"/>
    </xf>
    <xf numFmtId="0" fontId="70" fillId="0" borderId="9" xfId="0" applyFont="1" applyFill="1" applyBorder="1" applyAlignment="1">
      <alignment vertical="center" wrapText="1"/>
    </xf>
    <xf numFmtId="4" fontId="70" fillId="0" borderId="9" xfId="0" applyNumberFormat="1" applyFont="1" applyFill="1" applyBorder="1" applyAlignment="1">
      <alignment horizontal="right" vertical="center" wrapText="1"/>
    </xf>
    <xf numFmtId="4" fontId="66" fillId="0" borderId="39" xfId="0" applyNumberFormat="1" applyFont="1" applyFill="1" applyBorder="1" applyAlignment="1">
      <alignment horizontal="left" vertical="center" wrapText="1"/>
    </xf>
    <xf numFmtId="4" fontId="66" fillId="0" borderId="9" xfId="0" applyNumberFormat="1" applyFont="1" applyFill="1" applyBorder="1" applyAlignment="1">
      <alignment horizontal="left" vertical="top" wrapText="1"/>
    </xf>
    <xf numFmtId="4" fontId="66" fillId="0" borderId="9" xfId="0" applyNumberFormat="1" applyFont="1" applyFill="1" applyBorder="1" applyAlignment="1">
      <alignment horizontal="center" vertical="center" wrapText="1"/>
    </xf>
    <xf numFmtId="4" fontId="66" fillId="0" borderId="38" xfId="0" applyNumberFormat="1" applyFont="1" applyFill="1" applyBorder="1" applyAlignment="1">
      <alignment horizontal="center" vertical="center" wrapText="1"/>
    </xf>
    <xf numFmtId="4" fontId="70" fillId="0" borderId="42" xfId="0" applyNumberFormat="1" applyFont="1" applyFill="1" applyBorder="1" applyAlignment="1">
      <alignment horizontal="left" vertical="center" wrapText="1"/>
    </xf>
    <xf numFmtId="4" fontId="28" fillId="0" borderId="57" xfId="0" applyNumberFormat="1" applyFont="1" applyFill="1" applyBorder="1" applyAlignment="1"/>
    <xf numFmtId="4" fontId="28" fillId="0" borderId="12" xfId="0" applyNumberFormat="1" applyFont="1" applyFill="1" applyBorder="1" applyAlignment="1">
      <alignment horizontal="left" vertical="top" wrapText="1"/>
    </xf>
    <xf numFmtId="4" fontId="28" fillId="0" borderId="36" xfId="0" applyNumberFormat="1" applyFont="1" applyFill="1" applyBorder="1" applyAlignment="1">
      <alignment horizontal="center" vertical="center"/>
    </xf>
    <xf numFmtId="4" fontId="28" fillId="0" borderId="1" xfId="0" applyNumberFormat="1" applyFont="1" applyFill="1" applyBorder="1" applyAlignment="1">
      <alignment horizontal="center" vertical="center"/>
    </xf>
    <xf numFmtId="49" fontId="62" fillId="2" borderId="1" xfId="5" applyNumberFormat="1" applyFont="1" applyFill="1" applyBorder="1" applyAlignment="1">
      <alignment horizontal="center" vertical="center" wrapText="1"/>
    </xf>
    <xf numFmtId="0" fontId="98" fillId="0" borderId="0" xfId="0" applyFont="1" applyAlignment="1">
      <alignment horizontal="left" vertical="center"/>
    </xf>
    <xf numFmtId="4" fontId="29" fillId="5" borderId="10" xfId="0" applyNumberFormat="1" applyFont="1" applyFill="1" applyBorder="1" applyAlignment="1">
      <alignment horizontal="right" vertical="center"/>
    </xf>
    <xf numFmtId="4" fontId="29" fillId="5" borderId="8" xfId="0" applyNumberFormat="1" applyFont="1" applyFill="1" applyBorder="1" applyAlignment="1">
      <alignment horizontal="right" vertical="center"/>
    </xf>
    <xf numFmtId="4" fontId="28" fillId="0" borderId="9" xfId="0" applyNumberFormat="1" applyFont="1" applyFill="1" applyBorder="1" applyAlignment="1">
      <alignment horizontal="center" vertical="center" wrapText="1"/>
    </xf>
    <xf numFmtId="4" fontId="100" fillId="0" borderId="1" xfId="0" applyNumberFormat="1" applyFont="1" applyFill="1" applyBorder="1" applyAlignment="1">
      <alignment horizontal="center" vertical="center" wrapText="1"/>
    </xf>
    <xf numFmtId="0" fontId="28" fillId="0" borderId="0" xfId="0" applyFont="1" applyAlignment="1">
      <alignment horizontal="left" vertical="center"/>
    </xf>
    <xf numFmtId="0" fontId="28" fillId="0" borderId="9"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9" fillId="0" borderId="10" xfId="0" applyFont="1" applyFill="1" applyBorder="1" applyAlignment="1">
      <alignment horizontal="center" vertical="center"/>
    </xf>
    <xf numFmtId="4" fontId="28" fillId="0" borderId="0" xfId="0" applyNumberFormat="1" applyFont="1" applyAlignment="1">
      <alignment horizontal="center" vertical="center"/>
    </xf>
    <xf numFmtId="4" fontId="28" fillId="0" borderId="58" xfId="0" applyNumberFormat="1" applyFont="1" applyFill="1" applyBorder="1" applyAlignment="1">
      <alignment horizontal="right" vertical="center"/>
    </xf>
    <xf numFmtId="4" fontId="28" fillId="0" borderId="55" xfId="0" applyNumberFormat="1" applyFont="1" applyFill="1" applyBorder="1" applyAlignment="1">
      <alignment vertical="top" wrapText="1"/>
    </xf>
    <xf numFmtId="4" fontId="28" fillId="0" borderId="37" xfId="0" applyNumberFormat="1" applyFont="1" applyFill="1" applyBorder="1" applyAlignment="1">
      <alignment vertical="top" wrapText="1"/>
    </xf>
    <xf numFmtId="4" fontId="28" fillId="0" borderId="54" xfId="0" applyNumberFormat="1" applyFont="1" applyFill="1" applyBorder="1" applyAlignment="1">
      <alignment vertical="top" wrapText="1"/>
    </xf>
    <xf numFmtId="4" fontId="91" fillId="0" borderId="0" xfId="0" applyNumberFormat="1" applyFont="1" applyBorder="1"/>
    <xf numFmtId="4" fontId="91" fillId="0" borderId="0" xfId="0" applyNumberFormat="1" applyFont="1" applyFill="1" applyBorder="1"/>
    <xf numFmtId="4" fontId="29" fillId="5" borderId="0" xfId="0" applyNumberFormat="1" applyFont="1" applyFill="1" applyBorder="1" applyAlignment="1">
      <alignment horizontal="right" vertical="center" wrapText="1"/>
    </xf>
    <xf numFmtId="4" fontId="28" fillId="2" borderId="39" xfId="0" applyNumberFormat="1" applyFont="1" applyFill="1" applyBorder="1" applyAlignment="1">
      <alignment horizontal="right" vertical="center"/>
    </xf>
    <xf numFmtId="4" fontId="28" fillId="2" borderId="0" xfId="0" applyNumberFormat="1" applyFont="1" applyFill="1" applyBorder="1" applyAlignment="1">
      <alignment horizontal="right" vertical="center"/>
    </xf>
    <xf numFmtId="4" fontId="29" fillId="0" borderId="14" xfId="0" applyNumberFormat="1" applyFont="1" applyFill="1" applyBorder="1" applyAlignment="1">
      <alignment horizontal="right" vertical="center"/>
    </xf>
    <xf numFmtId="4" fontId="29" fillId="2" borderId="0" xfId="0" applyNumberFormat="1" applyFont="1" applyFill="1" applyBorder="1" applyAlignment="1">
      <alignment horizontal="right" vertical="center"/>
    </xf>
    <xf numFmtId="4" fontId="28" fillId="0" borderId="2" xfId="0" applyNumberFormat="1" applyFont="1" applyBorder="1" applyAlignment="1">
      <alignment horizontal="right" vertical="center"/>
    </xf>
    <xf numFmtId="4" fontId="28" fillId="2" borderId="56" xfId="0" applyNumberFormat="1" applyFont="1" applyFill="1" applyBorder="1" applyAlignment="1">
      <alignment horizontal="right" vertical="center"/>
    </xf>
    <xf numFmtId="4" fontId="28" fillId="0" borderId="42" xfId="0" applyNumberFormat="1" applyFont="1" applyFill="1" applyBorder="1" applyAlignment="1">
      <alignment horizontal="left" vertical="top" wrapText="1"/>
    </xf>
    <xf numFmtId="0" fontId="28" fillId="0" borderId="56" xfId="0" applyFont="1" applyFill="1" applyBorder="1" applyAlignment="1">
      <alignment horizontal="left" vertical="top" wrapText="1"/>
    </xf>
    <xf numFmtId="0" fontId="28" fillId="0" borderId="16" xfId="0" applyFont="1" applyFill="1" applyBorder="1"/>
    <xf numFmtId="0" fontId="62" fillId="2" borderId="12" xfId="5" applyFont="1" applyFill="1" applyBorder="1" applyAlignment="1">
      <alignment vertical="center" wrapText="1"/>
    </xf>
    <xf numFmtId="4" fontId="29" fillId="2" borderId="3" xfId="0" applyNumberFormat="1" applyFont="1" applyFill="1" applyBorder="1" applyAlignment="1">
      <alignment horizontal="right" vertical="center"/>
    </xf>
    <xf numFmtId="4" fontId="29" fillId="11" borderId="7" xfId="0" applyNumberFormat="1" applyFont="1" applyFill="1" applyBorder="1" applyAlignment="1">
      <alignment horizontal="right" vertical="center"/>
    </xf>
    <xf numFmtId="4" fontId="28" fillId="2" borderId="59" xfId="0" applyNumberFormat="1" applyFont="1" applyFill="1" applyBorder="1" applyAlignment="1">
      <alignment horizontal="right" vertical="center"/>
    </xf>
    <xf numFmtId="4" fontId="29" fillId="2" borderId="59" xfId="0" applyNumberFormat="1" applyFont="1" applyFill="1" applyBorder="1" applyAlignment="1">
      <alignment horizontal="right" vertical="center"/>
    </xf>
    <xf numFmtId="4" fontId="28" fillId="0" borderId="1" xfId="0" applyNumberFormat="1" applyFont="1" applyFill="1" applyBorder="1" applyAlignment="1">
      <alignment horizontal="right" vertical="center"/>
    </xf>
    <xf numFmtId="4" fontId="28" fillId="0" borderId="56" xfId="0" applyNumberFormat="1" applyFont="1" applyFill="1" applyBorder="1" applyAlignment="1">
      <alignment horizontal="right" vertical="center" wrapText="1"/>
    </xf>
    <xf numFmtId="4" fontId="28" fillId="2" borderId="60" xfId="0" applyNumberFormat="1" applyFont="1" applyFill="1" applyBorder="1" applyAlignment="1">
      <alignment horizontal="right" vertical="center"/>
    </xf>
    <xf numFmtId="4" fontId="28" fillId="0" borderId="38" xfId="0" applyNumberFormat="1" applyFont="1" applyFill="1" applyBorder="1" applyAlignment="1">
      <alignment vertical="top" wrapText="1"/>
    </xf>
    <xf numFmtId="4" fontId="28" fillId="0" borderId="37" xfId="0" applyNumberFormat="1" applyFont="1" applyFill="1" applyBorder="1" applyAlignment="1">
      <alignment vertical="center" wrapText="1"/>
    </xf>
    <xf numFmtId="4" fontId="28" fillId="0" borderId="53" xfId="0" applyNumberFormat="1" applyFont="1" applyFill="1" applyBorder="1" applyAlignment="1">
      <alignment vertical="top" wrapText="1"/>
    </xf>
    <xf numFmtId="4" fontId="91" fillId="0" borderId="57" xfId="0" applyNumberFormat="1" applyFont="1" applyFill="1" applyBorder="1"/>
    <xf numFmtId="4" fontId="28" fillId="0" borderId="52" xfId="0" applyNumberFormat="1" applyFont="1" applyFill="1" applyBorder="1" applyAlignment="1">
      <alignment vertical="top" wrapText="1"/>
    </xf>
    <xf numFmtId="4" fontId="28" fillId="0" borderId="30" xfId="0" applyNumberFormat="1" applyFont="1" applyFill="1" applyBorder="1" applyAlignment="1">
      <alignment vertical="top" wrapText="1"/>
    </xf>
    <xf numFmtId="4" fontId="28" fillId="0" borderId="1" xfId="0" applyNumberFormat="1" applyFont="1" applyFill="1" applyBorder="1" applyAlignment="1">
      <alignment horizontal="center" vertical="center" wrapText="1"/>
    </xf>
    <xf numFmtId="4" fontId="28" fillId="0" borderId="1" xfId="0" applyNumberFormat="1" applyFont="1" applyFill="1" applyBorder="1" applyAlignment="1">
      <alignment horizontal="left" vertical="top" wrapText="1"/>
    </xf>
    <xf numFmtId="4" fontId="28" fillId="0" borderId="22" xfId="0" applyNumberFormat="1" applyFont="1" applyFill="1" applyBorder="1" applyAlignment="1">
      <alignment horizontal="left" vertical="top" wrapText="1"/>
    </xf>
    <xf numFmtId="4" fontId="28" fillId="0" borderId="22" xfId="0" applyNumberFormat="1" applyFont="1" applyFill="1" applyBorder="1" applyAlignment="1">
      <alignment horizontal="center" vertical="center" wrapText="1"/>
    </xf>
    <xf numFmtId="4" fontId="28" fillId="0" borderId="36" xfId="0" applyNumberFormat="1" applyFont="1" applyFill="1" applyBorder="1" applyAlignment="1">
      <alignment horizontal="left" vertical="top" wrapText="1"/>
    </xf>
    <xf numFmtId="4" fontId="28" fillId="0" borderId="28" xfId="0" applyNumberFormat="1" applyFont="1" applyFill="1" applyBorder="1" applyAlignment="1">
      <alignment horizontal="center" vertical="center" wrapText="1"/>
    </xf>
    <xf numFmtId="4" fontId="28" fillId="0" borderId="8" xfId="0" applyNumberFormat="1" applyFont="1" applyFill="1" applyBorder="1" applyAlignment="1">
      <alignment horizontal="left" vertical="top" wrapText="1"/>
    </xf>
    <xf numFmtId="4" fontId="28" fillId="0" borderId="10" xfId="0" applyNumberFormat="1" applyFont="1" applyFill="1" applyBorder="1" applyAlignment="1">
      <alignment horizontal="center" vertical="center" wrapText="1"/>
    </xf>
    <xf numFmtId="4" fontId="28" fillId="0" borderId="30" xfId="0" applyNumberFormat="1" applyFont="1" applyFill="1" applyBorder="1" applyAlignment="1">
      <alignment horizontal="center" vertical="center" wrapText="1"/>
    </xf>
    <xf numFmtId="4" fontId="28" fillId="0" borderId="9" xfId="0" applyNumberFormat="1" applyFont="1" applyFill="1" applyBorder="1" applyAlignment="1">
      <alignment horizontal="center" vertical="center" wrapText="1"/>
    </xf>
    <xf numFmtId="4" fontId="28" fillId="0" borderId="10" xfId="0" applyNumberFormat="1" applyFont="1" applyFill="1" applyBorder="1" applyAlignment="1">
      <alignment horizontal="left" vertical="top" wrapText="1"/>
    </xf>
    <xf numFmtId="4" fontId="28" fillId="0" borderId="45" xfId="0" applyNumberFormat="1" applyFont="1" applyFill="1" applyBorder="1" applyAlignment="1">
      <alignment horizontal="center" vertical="center"/>
    </xf>
    <xf numFmtId="4" fontId="28" fillId="0" borderId="46" xfId="0" applyNumberFormat="1" applyFont="1" applyFill="1" applyBorder="1" applyAlignment="1">
      <alignment horizontal="center" vertical="center"/>
    </xf>
    <xf numFmtId="4" fontId="28" fillId="0" borderId="45" xfId="0" applyNumberFormat="1" applyFont="1" applyFill="1" applyBorder="1" applyAlignment="1">
      <alignment horizontal="left" vertical="top" wrapText="1"/>
    </xf>
    <xf numFmtId="4" fontId="28" fillId="0" borderId="8" xfId="0" applyNumberFormat="1" applyFont="1" applyFill="1" applyBorder="1" applyAlignment="1">
      <alignment horizontal="center" vertical="center"/>
    </xf>
    <xf numFmtId="0" fontId="28" fillId="0" borderId="9" xfId="0" applyFont="1" applyFill="1" applyBorder="1" applyAlignment="1">
      <alignment horizontal="center" vertical="center" wrapText="1"/>
    </xf>
    <xf numFmtId="4" fontId="28" fillId="0" borderId="42" xfId="0" applyNumberFormat="1" applyFont="1" applyFill="1" applyBorder="1" applyAlignment="1">
      <alignment horizontal="center" vertical="center"/>
    </xf>
    <xf numFmtId="4" fontId="28" fillId="0" borderId="35" xfId="0" applyNumberFormat="1" applyFont="1" applyFill="1" applyBorder="1" applyAlignment="1">
      <alignment horizontal="center" vertical="center"/>
    </xf>
    <xf numFmtId="4" fontId="28" fillId="0" borderId="47" xfId="0" applyNumberFormat="1" applyFont="1" applyFill="1" applyBorder="1" applyAlignment="1">
      <alignment horizontal="center" vertical="center"/>
    </xf>
    <xf numFmtId="4" fontId="28" fillId="0" borderId="28" xfId="0" applyNumberFormat="1" applyFont="1" applyFill="1" applyBorder="1" applyAlignment="1">
      <alignment horizontal="center" vertical="center"/>
    </xf>
    <xf numFmtId="4" fontId="28" fillId="0" borderId="28" xfId="0" applyNumberFormat="1" applyFont="1" applyFill="1" applyBorder="1" applyAlignment="1">
      <alignment horizontal="left" vertical="top" wrapText="1"/>
    </xf>
    <xf numFmtId="4" fontId="28" fillId="0" borderId="30" xfId="0" applyNumberFormat="1" applyFont="1" applyFill="1" applyBorder="1" applyAlignment="1">
      <alignment horizontal="left" vertical="top" wrapText="1"/>
    </xf>
    <xf numFmtId="4" fontId="28" fillId="0" borderId="36" xfId="0" applyNumberFormat="1" applyFont="1" applyFill="1" applyBorder="1" applyAlignment="1">
      <alignment horizontal="center" vertical="center"/>
    </xf>
    <xf numFmtId="0" fontId="66" fillId="0" borderId="8" xfId="0" applyFont="1" applyFill="1" applyBorder="1" applyAlignment="1">
      <alignment horizontal="center" vertical="center" wrapText="1"/>
    </xf>
    <xf numFmtId="4" fontId="28" fillId="0" borderId="30" xfId="0" applyNumberFormat="1" applyFont="1" applyFill="1" applyBorder="1" applyAlignment="1">
      <alignment vertical="center" wrapText="1"/>
    </xf>
    <xf numFmtId="4" fontId="28" fillId="0" borderId="9" xfId="0" applyNumberFormat="1" applyFont="1" applyFill="1" applyBorder="1" applyAlignment="1">
      <alignment vertical="center" wrapText="1"/>
    </xf>
    <xf numFmtId="4" fontId="28" fillId="0" borderId="10" xfId="0" applyNumberFormat="1" applyFont="1" applyFill="1" applyBorder="1" applyAlignment="1">
      <alignment vertical="center" wrapText="1"/>
    </xf>
    <xf numFmtId="4" fontId="28" fillId="0" borderId="45" xfId="0" applyNumberFormat="1" applyFont="1" applyFill="1" applyBorder="1" applyAlignment="1">
      <alignment vertical="center" wrapText="1"/>
    </xf>
    <xf numFmtId="4" fontId="91" fillId="0" borderId="33" xfId="0" applyNumberFormat="1" applyFont="1" applyFill="1" applyBorder="1" applyAlignment="1">
      <alignment vertical="center" wrapText="1"/>
    </xf>
    <xf numFmtId="4" fontId="28" fillId="0" borderId="41" xfId="0" applyNumberFormat="1" applyFont="1" applyFill="1" applyBorder="1" applyAlignment="1">
      <alignment vertical="center" wrapText="1"/>
    </xf>
    <xf numFmtId="4" fontId="91" fillId="0" borderId="43" xfId="0" applyNumberFormat="1" applyFont="1" applyFill="1" applyBorder="1" applyAlignment="1">
      <alignment vertical="center" wrapText="1"/>
    </xf>
    <xf numFmtId="4" fontId="28" fillId="0" borderId="1" xfId="0" applyNumberFormat="1" applyFont="1" applyFill="1" applyBorder="1" applyAlignment="1">
      <alignment vertical="center" wrapText="1"/>
    </xf>
    <xf numFmtId="4" fontId="91" fillId="0" borderId="36" xfId="0" applyNumberFormat="1" applyFont="1" applyFill="1" applyBorder="1" applyAlignment="1">
      <alignment vertical="center" wrapText="1"/>
    </xf>
    <xf numFmtId="0" fontId="28" fillId="0" borderId="54" xfId="0" applyFont="1" applyFill="1" applyBorder="1"/>
    <xf numFmtId="4" fontId="28" fillId="0" borderId="53" xfId="0" applyNumberFormat="1" applyFont="1" applyFill="1" applyBorder="1" applyAlignment="1">
      <alignment vertical="center" wrapText="1"/>
    </xf>
    <xf numFmtId="4" fontId="28" fillId="0" borderId="55" xfId="0" applyNumberFormat="1" applyFont="1" applyFill="1" applyBorder="1" applyAlignment="1">
      <alignment vertical="center" wrapText="1"/>
    </xf>
    <xf numFmtId="4" fontId="91" fillId="0" borderId="55" xfId="0" applyNumberFormat="1" applyFont="1" applyFill="1" applyBorder="1" applyAlignment="1">
      <alignment vertical="center" wrapText="1"/>
    </xf>
    <xf numFmtId="4" fontId="28" fillId="0" borderId="41" xfId="0" applyNumberFormat="1" applyFont="1" applyFill="1" applyBorder="1" applyAlignment="1">
      <alignment vertical="top" wrapText="1"/>
    </xf>
    <xf numFmtId="4" fontId="91" fillId="0" borderId="46" xfId="0" applyNumberFormat="1" applyFont="1" applyFill="1" applyBorder="1" applyAlignment="1">
      <alignment vertical="center" wrapText="1"/>
    </xf>
    <xf numFmtId="4" fontId="28" fillId="0" borderId="62" xfId="0" applyNumberFormat="1" applyFont="1" applyFill="1" applyBorder="1" applyAlignment="1">
      <alignment vertical="top" wrapText="1"/>
    </xf>
    <xf numFmtId="4" fontId="28" fillId="0" borderId="62" xfId="0" applyNumberFormat="1" applyFont="1" applyFill="1" applyBorder="1" applyAlignment="1">
      <alignment vertical="center" wrapText="1"/>
    </xf>
    <xf numFmtId="4" fontId="91" fillId="0" borderId="62" xfId="0" applyNumberFormat="1" applyFont="1" applyFill="1" applyBorder="1" applyAlignment="1">
      <alignment vertical="center" wrapText="1"/>
    </xf>
    <xf numFmtId="4" fontId="28" fillId="0" borderId="63" xfId="0" applyNumberFormat="1" applyFont="1" applyFill="1" applyBorder="1" applyAlignment="1">
      <alignment vertical="center" wrapText="1"/>
    </xf>
    <xf numFmtId="4" fontId="91" fillId="0" borderId="35" xfId="0" applyNumberFormat="1" applyFont="1" applyFill="1" applyBorder="1" applyAlignment="1">
      <alignment horizontal="left" vertical="top" wrapText="1"/>
    </xf>
    <xf numFmtId="4" fontId="28" fillId="0" borderId="43" xfId="0" applyNumberFormat="1" applyFont="1" applyFill="1" applyBorder="1" applyAlignment="1">
      <alignment horizontal="left" vertical="top" wrapText="1"/>
    </xf>
    <xf numFmtId="4" fontId="28" fillId="0" borderId="63" xfId="0" applyNumberFormat="1" applyFont="1" applyFill="1" applyBorder="1" applyAlignment="1">
      <alignment horizontal="left" vertical="top" wrapText="1"/>
    </xf>
    <xf numFmtId="4" fontId="28" fillId="0" borderId="62" xfId="0" applyNumberFormat="1" applyFont="1" applyFill="1" applyBorder="1" applyAlignment="1">
      <alignment horizontal="left" vertical="top" wrapText="1"/>
    </xf>
    <xf numFmtId="4" fontId="28" fillId="0" borderId="62" xfId="0" applyNumberFormat="1" applyFont="1" applyFill="1" applyBorder="1" applyAlignment="1">
      <alignment horizontal="center" vertical="center" wrapText="1"/>
    </xf>
    <xf numFmtId="4" fontId="28" fillId="0" borderId="37" xfId="0" applyNumberFormat="1" applyFont="1" applyFill="1" applyBorder="1" applyAlignment="1">
      <alignment horizontal="center" vertical="center" wrapText="1"/>
    </xf>
    <xf numFmtId="4" fontId="28" fillId="0" borderId="43" xfId="0" applyNumberFormat="1" applyFont="1" applyFill="1" applyBorder="1" applyAlignment="1">
      <alignment vertical="top" wrapText="1"/>
    </xf>
    <xf numFmtId="4" fontId="28" fillId="0" borderId="41" xfId="0" applyNumberFormat="1" applyFont="1" applyFill="1" applyBorder="1" applyAlignment="1">
      <alignment horizontal="center" vertical="top" wrapText="1"/>
    </xf>
    <xf numFmtId="4" fontId="0" fillId="0" borderId="53" xfId="0" applyNumberFormat="1" applyFill="1" applyBorder="1" applyAlignment="1">
      <alignment horizontal="left" vertical="top" wrapText="1"/>
    </xf>
    <xf numFmtId="4" fontId="0" fillId="0" borderId="41" xfId="0" applyNumberFormat="1" applyFill="1" applyBorder="1" applyAlignment="1">
      <alignment horizontal="left" vertical="top" wrapText="1"/>
    </xf>
    <xf numFmtId="4" fontId="66" fillId="0" borderId="45" xfId="0" applyNumberFormat="1" applyFont="1" applyFill="1" applyBorder="1" applyAlignment="1">
      <alignment horizontal="left" vertical="top" wrapText="1"/>
    </xf>
    <xf numFmtId="4" fontId="66" fillId="0" borderId="45" xfId="0" applyNumberFormat="1" applyFont="1" applyFill="1" applyBorder="1" applyAlignment="1">
      <alignment horizontal="center" vertical="center"/>
    </xf>
    <xf numFmtId="4" fontId="66" fillId="0" borderId="46" xfId="0" applyNumberFormat="1" applyFont="1" applyFill="1" applyBorder="1" applyAlignment="1">
      <alignment horizontal="center" vertical="center"/>
    </xf>
    <xf numFmtId="4" fontId="0" fillId="0" borderId="48" xfId="0" applyNumberFormat="1" applyFill="1" applyBorder="1" applyAlignment="1">
      <alignment horizontal="center" vertical="center"/>
    </xf>
    <xf numFmtId="4" fontId="0" fillId="0" borderId="54" xfId="0" applyNumberFormat="1" applyFill="1" applyBorder="1" applyAlignment="1">
      <alignment horizontal="left" vertical="top" wrapText="1"/>
    </xf>
    <xf numFmtId="4" fontId="0" fillId="0" borderId="37" xfId="0" applyNumberFormat="1" applyFill="1" applyBorder="1" applyAlignment="1">
      <alignment horizontal="center" vertical="center" wrapText="1"/>
    </xf>
    <xf numFmtId="4" fontId="0" fillId="0" borderId="55" xfId="0" applyNumberFormat="1" applyFill="1" applyBorder="1" applyAlignment="1">
      <alignment horizontal="left" vertical="top" wrapText="1"/>
    </xf>
    <xf numFmtId="4" fontId="0" fillId="0" borderId="46" xfId="0" applyNumberFormat="1" applyFill="1" applyBorder="1" applyAlignment="1">
      <alignment horizontal="center" vertical="center"/>
    </xf>
    <xf numFmtId="4" fontId="0" fillId="0" borderId="55" xfId="0" applyNumberFormat="1" applyFill="1" applyBorder="1" applyAlignment="1">
      <alignment horizontal="center" vertical="center"/>
    </xf>
    <xf numFmtId="4" fontId="28" fillId="0" borderId="37" xfId="0" applyNumberFormat="1" applyFont="1" applyFill="1" applyBorder="1" applyAlignment="1">
      <alignment horizontal="left" vertical="top" wrapText="1"/>
    </xf>
    <xf numFmtId="4" fontId="28" fillId="0" borderId="37" xfId="0" applyNumberFormat="1" applyFont="1" applyFill="1" applyBorder="1" applyAlignment="1">
      <alignment horizontal="center" vertical="center"/>
    </xf>
    <xf numFmtId="4" fontId="28" fillId="0" borderId="48" xfId="0" applyNumberFormat="1" applyFont="1" applyFill="1" applyBorder="1" applyAlignment="1">
      <alignment horizontal="center" vertical="center"/>
    </xf>
    <xf numFmtId="4" fontId="28" fillId="0" borderId="41" xfId="0" applyNumberFormat="1" applyFont="1" applyFill="1" applyBorder="1" applyAlignment="1">
      <alignment horizontal="center" vertical="center"/>
    </xf>
    <xf numFmtId="4" fontId="0" fillId="0" borderId="44" xfId="0" applyNumberFormat="1" applyFill="1" applyBorder="1" applyAlignment="1">
      <alignment horizontal="left" vertical="top" wrapText="1"/>
    </xf>
    <xf numFmtId="4" fontId="0" fillId="2" borderId="45" xfId="0" applyNumberFormat="1" applyFill="1" applyBorder="1" applyAlignment="1">
      <alignment wrapText="1"/>
    </xf>
    <xf numFmtId="4" fontId="0" fillId="0" borderId="48" xfId="0" applyNumberFormat="1" applyFill="1" applyBorder="1" applyAlignment="1">
      <alignment horizontal="center" vertical="center" wrapText="1"/>
    </xf>
    <xf numFmtId="4" fontId="0" fillId="0" borderId="45" xfId="0" applyNumberFormat="1" applyFill="1" applyBorder="1" applyAlignment="1">
      <alignment horizontal="center" vertical="center" wrapText="1"/>
    </xf>
    <xf numFmtId="4" fontId="0" fillId="2" borderId="28" xfId="0" applyNumberFormat="1" applyFill="1" applyBorder="1" applyAlignment="1">
      <alignment wrapText="1"/>
    </xf>
    <xf numFmtId="4" fontId="0" fillId="0" borderId="8" xfId="0" applyNumberFormat="1" applyFill="1" applyBorder="1" applyAlignment="1">
      <alignment horizontal="center" vertical="center"/>
    </xf>
    <xf numFmtId="4" fontId="0" fillId="0" borderId="54" xfId="0" applyNumberFormat="1" applyFill="1" applyBorder="1" applyAlignment="1">
      <alignment horizontal="left" vertical="top"/>
    </xf>
    <xf numFmtId="4" fontId="0" fillId="0" borderId="55" xfId="0" applyNumberFormat="1" applyFill="1" applyBorder="1" applyAlignment="1">
      <alignment horizontal="left" vertical="top"/>
    </xf>
    <xf numFmtId="4" fontId="70" fillId="0" borderId="0" xfId="0" applyNumberFormat="1" applyFont="1" applyFill="1" applyBorder="1"/>
    <xf numFmtId="4" fontId="0" fillId="0" borderId="37" xfId="0" applyNumberFormat="1" applyFill="1" applyBorder="1" applyAlignment="1">
      <alignment horizontal="left" vertical="top" wrapText="1"/>
    </xf>
    <xf numFmtId="4" fontId="0" fillId="0" borderId="55" xfId="0" applyNumberFormat="1" applyFill="1" applyBorder="1" applyAlignment="1">
      <alignment horizontal="center" vertical="center" wrapText="1"/>
    </xf>
    <xf numFmtId="4" fontId="28" fillId="0" borderId="41" xfId="0" applyNumberFormat="1" applyFont="1" applyFill="1" applyBorder="1" applyAlignment="1">
      <alignment vertical="center"/>
    </xf>
    <xf numFmtId="4" fontId="28" fillId="0" borderId="62" xfId="0" applyNumberFormat="1" applyFont="1" applyFill="1" applyBorder="1" applyAlignment="1">
      <alignment vertical="center"/>
    </xf>
    <xf numFmtId="4" fontId="28" fillId="0" borderId="54" xfId="0" applyNumberFormat="1" applyFont="1" applyFill="1" applyBorder="1" applyAlignment="1">
      <alignment horizontal="left" vertical="top" wrapText="1"/>
    </xf>
    <xf numFmtId="0" fontId="28" fillId="0" borderId="0" xfId="0" applyFont="1" applyFill="1" applyBorder="1" applyAlignment="1">
      <alignment vertical="top" wrapText="1"/>
    </xf>
    <xf numFmtId="4" fontId="28" fillId="0" borderId="55" xfId="0" applyNumberFormat="1" applyFont="1" applyFill="1" applyBorder="1" applyAlignment="1">
      <alignment horizontal="center" vertical="center"/>
    </xf>
    <xf numFmtId="0" fontId="28" fillId="0" borderId="41" xfId="0" applyFont="1" applyFill="1" applyBorder="1" applyAlignment="1">
      <alignment vertical="top" wrapText="1"/>
    </xf>
    <xf numFmtId="4" fontId="28" fillId="0" borderId="48" xfId="0" applyNumberFormat="1" applyFont="1" applyFill="1" applyBorder="1" applyAlignment="1">
      <alignment horizontal="center" vertical="center" wrapText="1"/>
    </xf>
    <xf numFmtId="4" fontId="28" fillId="2" borderId="0" xfId="0" applyNumberFormat="1" applyFont="1" applyFill="1" applyBorder="1"/>
    <xf numFmtId="4" fontId="28" fillId="0" borderId="44" xfId="0" applyNumberFormat="1" applyFont="1" applyFill="1" applyBorder="1" applyAlignment="1">
      <alignment wrapText="1"/>
    </xf>
    <xf numFmtId="4" fontId="28" fillId="0" borderId="37" xfId="0" applyNumberFormat="1" applyFont="1" applyFill="1" applyBorder="1" applyAlignment="1">
      <alignment wrapText="1"/>
    </xf>
    <xf numFmtId="4" fontId="28" fillId="0" borderId="0" xfId="0" applyNumberFormat="1" applyFont="1" applyFill="1" applyBorder="1" applyAlignment="1"/>
    <xf numFmtId="4" fontId="28" fillId="0" borderId="62" xfId="0" applyNumberFormat="1" applyFont="1" applyFill="1" applyBorder="1" applyAlignment="1">
      <alignment horizontal="center" vertical="center"/>
    </xf>
    <xf numFmtId="4" fontId="28" fillId="0" borderId="63" xfId="0" applyNumberFormat="1" applyFont="1" applyFill="1" applyBorder="1" applyAlignment="1">
      <alignment vertical="center"/>
    </xf>
    <xf numFmtId="4" fontId="28" fillId="0" borderId="37" xfId="0" applyNumberFormat="1" applyFont="1" applyFill="1" applyBorder="1" applyAlignment="1">
      <alignment vertical="center"/>
    </xf>
    <xf numFmtId="4" fontId="28" fillId="0" borderId="0" xfId="0" applyNumberFormat="1" applyFont="1" applyFill="1" applyBorder="1" applyAlignment="1">
      <alignment vertical="center" wrapText="1"/>
    </xf>
    <xf numFmtId="44" fontId="28" fillId="0" borderId="0" xfId="0" applyNumberFormat="1" applyFont="1" applyFill="1" applyBorder="1" applyAlignment="1">
      <alignment vertical="top" wrapText="1"/>
    </xf>
    <xf numFmtId="4" fontId="28" fillId="0" borderId="55" xfId="0" applyNumberFormat="1" applyFont="1" applyFill="1" applyBorder="1" applyAlignment="1">
      <alignment vertical="center"/>
    </xf>
    <xf numFmtId="4" fontId="28" fillId="2" borderId="55" xfId="0" applyNumberFormat="1" applyFont="1" applyFill="1" applyBorder="1" applyAlignment="1">
      <alignment vertical="top" wrapText="1"/>
    </xf>
    <xf numFmtId="4" fontId="28" fillId="2" borderId="55" xfId="0" applyNumberFormat="1" applyFont="1" applyFill="1" applyBorder="1" applyAlignment="1">
      <alignment horizontal="center" vertical="center"/>
    </xf>
    <xf numFmtId="4" fontId="28" fillId="0" borderId="0" xfId="0" applyNumberFormat="1" applyFont="1" applyFill="1" applyBorder="1" applyAlignment="1">
      <alignment vertical="center"/>
    </xf>
    <xf numFmtId="4" fontId="28" fillId="2" borderId="0" xfId="0" applyNumberFormat="1" applyFont="1" applyFill="1" applyBorder="1" applyAlignment="1">
      <alignment vertical="top" wrapText="1"/>
    </xf>
    <xf numFmtId="4" fontId="28" fillId="2" borderId="0" xfId="0" applyNumberFormat="1" applyFont="1" applyFill="1" applyBorder="1" applyAlignment="1">
      <alignment horizontal="center" vertical="center"/>
    </xf>
    <xf numFmtId="4" fontId="29" fillId="0" borderId="1" xfId="15" applyNumberFormat="1" applyFont="1" applyFill="1" applyBorder="1" applyAlignment="1">
      <alignment horizontal="center" vertical="center" wrapText="1"/>
    </xf>
    <xf numFmtId="4" fontId="28" fillId="0" borderId="66" xfId="0" applyNumberFormat="1" applyFont="1" applyFill="1" applyBorder="1" applyAlignment="1">
      <alignment horizontal="right" vertical="center" wrapText="1"/>
    </xf>
    <xf numFmtId="0" fontId="68" fillId="2" borderId="1" xfId="0" applyFont="1" applyFill="1" applyBorder="1" applyAlignment="1">
      <alignment horizontal="center" vertical="center"/>
    </xf>
    <xf numFmtId="0" fontId="68" fillId="2" borderId="12" xfId="0" applyFont="1" applyFill="1" applyBorder="1" applyAlignment="1">
      <alignment horizontal="center" vertical="center"/>
    </xf>
    <xf numFmtId="4" fontId="28" fillId="0" borderId="9" xfId="0" applyNumberFormat="1" applyFont="1" applyFill="1" applyBorder="1" applyAlignment="1">
      <alignment horizontal="left" vertical="center" wrapText="1"/>
    </xf>
    <xf numFmtId="4" fontId="28" fillId="0" borderId="9" xfId="0" applyNumberFormat="1" applyFont="1" applyFill="1" applyBorder="1" applyAlignment="1">
      <alignment horizontal="center" vertical="center"/>
    </xf>
    <xf numFmtId="4" fontId="28" fillId="0" borderId="8" xfId="0" applyNumberFormat="1" applyFont="1" applyFill="1" applyBorder="1" applyAlignment="1">
      <alignment horizontal="center" vertical="center"/>
    </xf>
    <xf numFmtId="0" fontId="28" fillId="0" borderId="9" xfId="0" applyFont="1" applyFill="1" applyBorder="1" applyAlignment="1">
      <alignment horizontal="center" vertical="center" wrapText="1"/>
    </xf>
    <xf numFmtId="4" fontId="28" fillId="0" borderId="0" xfId="0" applyNumberFormat="1" applyFont="1" applyFill="1" applyBorder="1" applyAlignment="1">
      <alignment horizontal="center" vertical="center" wrapText="1"/>
    </xf>
    <xf numFmtId="4" fontId="28" fillId="0" borderId="9" xfId="0" applyNumberFormat="1" applyFont="1" applyFill="1" applyBorder="1" applyAlignment="1">
      <alignment horizontal="center" vertical="center"/>
    </xf>
    <xf numFmtId="0" fontId="28" fillId="0" borderId="9" xfId="0" applyFont="1" applyFill="1" applyBorder="1" applyAlignment="1">
      <alignment horizontal="center" vertical="center" wrapText="1"/>
    </xf>
    <xf numFmtId="0" fontId="28" fillId="0" borderId="8" xfId="0" applyFont="1" applyFill="1" applyBorder="1" applyAlignment="1">
      <alignment horizontal="center" vertical="center" wrapText="1"/>
    </xf>
    <xf numFmtId="4" fontId="28" fillId="0" borderId="8" xfId="0" applyNumberFormat="1" applyFont="1" applyFill="1" applyBorder="1" applyAlignment="1">
      <alignment horizontal="center" vertical="center"/>
    </xf>
    <xf numFmtId="4" fontId="28" fillId="0" borderId="0" xfId="0" applyNumberFormat="1" applyFont="1" applyFill="1" applyBorder="1" applyAlignment="1">
      <alignment horizontal="left" vertical="top" wrapText="1"/>
    </xf>
    <xf numFmtId="4" fontId="28" fillId="0" borderId="0" xfId="0" applyNumberFormat="1" applyFont="1" applyFill="1" applyBorder="1" applyAlignment="1">
      <alignment horizontal="center" vertical="center"/>
    </xf>
    <xf numFmtId="4" fontId="28" fillId="2" borderId="0" xfId="0" applyNumberFormat="1" applyFont="1" applyFill="1" applyBorder="1" applyAlignment="1">
      <alignment vertical="top" wrapText="1"/>
    </xf>
    <xf numFmtId="4" fontId="28" fillId="0" borderId="66" xfId="0" applyNumberFormat="1" applyFont="1" applyFill="1" applyBorder="1" applyAlignment="1">
      <alignment horizontal="right" vertical="center"/>
    </xf>
    <xf numFmtId="4" fontId="28" fillId="0" borderId="68" xfId="0" applyNumberFormat="1" applyFont="1" applyFill="1" applyBorder="1" applyAlignment="1">
      <alignment horizontal="right" vertical="center"/>
    </xf>
    <xf numFmtId="4" fontId="29" fillId="0" borderId="67" xfId="0" applyNumberFormat="1" applyFont="1" applyFill="1" applyBorder="1" applyAlignment="1">
      <alignment horizontal="right" vertical="center"/>
    </xf>
    <xf numFmtId="0" fontId="28" fillId="0" borderId="37" xfId="0" applyFont="1" applyFill="1" applyBorder="1" applyAlignment="1">
      <alignment vertical="top" wrapText="1"/>
    </xf>
    <xf numFmtId="0" fontId="29" fillId="0" borderId="1" xfId="0" applyFont="1" applyBorder="1" applyAlignment="1">
      <alignment horizontal="center" vertical="center"/>
    </xf>
    <xf numFmtId="0" fontId="29" fillId="0" borderId="1" xfId="0" applyFont="1" applyBorder="1" applyAlignment="1">
      <alignment vertical="center" wrapText="1"/>
    </xf>
    <xf numFmtId="4" fontId="29" fillId="0" borderId="1" xfId="0" applyNumberFormat="1" applyFont="1" applyBorder="1" applyAlignment="1">
      <alignment horizontal="right" vertical="center"/>
    </xf>
    <xf numFmtId="4" fontId="28" fillId="2" borderId="54" xfId="0" applyNumberFormat="1" applyFont="1" applyFill="1" applyBorder="1" applyAlignment="1">
      <alignment vertical="top" wrapText="1"/>
    </xf>
    <xf numFmtId="0" fontId="28" fillId="0" borderId="0" xfId="33" applyFont="1" applyFill="1" applyAlignment="1">
      <alignment vertical="center" wrapText="1"/>
    </xf>
    <xf numFmtId="4" fontId="28" fillId="0" borderId="9" xfId="0" applyNumberFormat="1" applyFont="1" applyBorder="1" applyAlignment="1">
      <alignment horizontal="right" vertical="center"/>
    </xf>
    <xf numFmtId="4" fontId="29" fillId="0" borderId="67" xfId="0" applyNumberFormat="1" applyFont="1" applyFill="1" applyBorder="1" applyAlignment="1">
      <alignment horizontal="right" vertical="center" wrapText="1"/>
    </xf>
    <xf numFmtId="0" fontId="29" fillId="0" borderId="66" xfId="0" applyFont="1" applyFill="1" applyBorder="1" applyAlignment="1">
      <alignment horizontal="center" vertical="center" wrapText="1"/>
    </xf>
    <xf numFmtId="0" fontId="29" fillId="0" borderId="67" xfId="0" applyFont="1" applyFill="1" applyBorder="1" applyAlignment="1">
      <alignment horizontal="center" vertical="center" wrapText="1"/>
    </xf>
    <xf numFmtId="0" fontId="28" fillId="0" borderId="70" xfId="0" applyFont="1" applyFill="1" applyBorder="1" applyAlignment="1">
      <alignment vertical="center" wrapText="1"/>
    </xf>
    <xf numFmtId="0" fontId="28" fillId="0" borderId="66" xfId="0" applyFont="1" applyFill="1" applyBorder="1" applyAlignment="1">
      <alignment horizontal="center" vertical="center" wrapText="1"/>
    </xf>
    <xf numFmtId="4" fontId="28" fillId="0" borderId="57" xfId="0" applyNumberFormat="1" applyFont="1" applyFill="1" applyBorder="1"/>
    <xf numFmtId="4" fontId="28" fillId="0" borderId="39" xfId="0" applyNumberFormat="1" applyFont="1" applyBorder="1" applyAlignment="1">
      <alignment horizontal="left" vertical="center" wrapText="1"/>
    </xf>
    <xf numFmtId="0" fontId="28" fillId="0" borderId="9" xfId="0" applyFont="1" applyBorder="1" applyAlignment="1">
      <alignment horizontal="center" vertical="center" wrapText="1"/>
    </xf>
    <xf numFmtId="4" fontId="28" fillId="0" borderId="39" xfId="0" applyNumberFormat="1" applyFont="1" applyBorder="1" applyAlignment="1">
      <alignment horizontal="right" vertical="center" wrapText="1"/>
    </xf>
    <xf numFmtId="0" fontId="28" fillId="0" borderId="9" xfId="33" applyFont="1" applyBorder="1" applyAlignment="1">
      <alignment vertical="center"/>
    </xf>
    <xf numFmtId="0" fontId="102" fillId="2" borderId="15" xfId="5" applyFont="1" applyFill="1" applyBorder="1" applyAlignment="1">
      <alignment vertical="center" wrapText="1"/>
    </xf>
    <xf numFmtId="0" fontId="102" fillId="2" borderId="14" xfId="5" applyFont="1" applyFill="1" applyBorder="1" applyAlignment="1">
      <alignment vertical="center" wrapText="1"/>
    </xf>
    <xf numFmtId="4" fontId="50" fillId="0" borderId="1" xfId="0" applyNumberFormat="1" applyFont="1" applyFill="1" applyBorder="1" applyAlignment="1">
      <alignment horizontal="center" vertical="center" wrapText="1"/>
    </xf>
    <xf numFmtId="0" fontId="62" fillId="0" borderId="1" xfId="0" applyFont="1" applyFill="1" applyBorder="1" applyAlignment="1">
      <alignment horizontal="center" vertical="center" wrapText="1"/>
    </xf>
    <xf numFmtId="4" fontId="62" fillId="0" borderId="1" xfId="0" applyNumberFormat="1" applyFont="1" applyFill="1" applyBorder="1" applyAlignment="1">
      <alignment horizontal="center" vertical="center" wrapText="1"/>
    </xf>
    <xf numFmtId="4" fontId="62" fillId="0" borderId="1" xfId="0" applyNumberFormat="1" applyFont="1" applyFill="1" applyBorder="1" applyAlignment="1">
      <alignment horizontal="center" vertical="center"/>
    </xf>
    <xf numFmtId="4" fontId="63" fillId="0" borderId="1" xfId="0" applyNumberFormat="1" applyFont="1" applyFill="1" applyBorder="1" applyAlignment="1">
      <alignment horizontal="center" vertical="center" wrapText="1"/>
    </xf>
    <xf numFmtId="4" fontId="28" fillId="0" borderId="0" xfId="0" applyNumberFormat="1" applyFont="1" applyFill="1" applyBorder="1" applyAlignment="1">
      <alignment horizontal="center" vertical="center"/>
    </xf>
    <xf numFmtId="4" fontId="28" fillId="0" borderId="0" xfId="0" applyNumberFormat="1" applyFont="1" applyFill="1" applyBorder="1" applyAlignment="1">
      <alignment horizontal="left" vertical="top" wrapText="1"/>
    </xf>
    <xf numFmtId="4" fontId="28" fillId="0" borderId="68" xfId="0" applyNumberFormat="1" applyFont="1" applyFill="1" applyBorder="1" applyAlignment="1">
      <alignment horizontal="left" vertical="center"/>
    </xf>
    <xf numFmtId="4" fontId="29" fillId="0" borderId="71" xfId="0" applyNumberFormat="1" applyFont="1" applyFill="1" applyBorder="1" applyAlignment="1">
      <alignment horizontal="right" vertical="center"/>
    </xf>
    <xf numFmtId="0" fontId="29" fillId="11" borderId="1" xfId="0" applyFont="1" applyFill="1" applyBorder="1" applyAlignment="1">
      <alignment horizontal="center" vertical="center" wrapText="1"/>
    </xf>
    <xf numFmtId="2" fontId="29" fillId="0" borderId="1" xfId="0" applyNumberFormat="1" applyFont="1" applyFill="1" applyBorder="1" applyAlignment="1">
      <alignment horizontal="right" vertical="center" wrapText="1"/>
    </xf>
    <xf numFmtId="3" fontId="28" fillId="0" borderId="8" xfId="0" applyNumberFormat="1" applyFont="1" applyFill="1" applyBorder="1" applyAlignment="1">
      <alignment horizontal="center" vertical="center"/>
    </xf>
    <xf numFmtId="4" fontId="28" fillId="0" borderId="66" xfId="0" applyNumberFormat="1" applyFont="1" applyFill="1" applyBorder="1" applyAlignment="1">
      <alignment horizontal="left" vertical="center"/>
    </xf>
    <xf numFmtId="4" fontId="28" fillId="0" borderId="69" xfId="0" applyNumberFormat="1" applyFont="1" applyFill="1" applyBorder="1" applyAlignment="1">
      <alignment horizontal="left" vertical="center"/>
    </xf>
    <xf numFmtId="0" fontId="28" fillId="0" borderId="72" xfId="0" applyFont="1" applyFill="1" applyBorder="1" applyAlignment="1">
      <alignment horizontal="center" vertical="center" wrapText="1"/>
    </xf>
    <xf numFmtId="3" fontId="28" fillId="0" borderId="72" xfId="0" applyNumberFormat="1" applyFont="1" applyFill="1" applyBorder="1" applyAlignment="1">
      <alignment horizontal="center" vertical="center"/>
    </xf>
    <xf numFmtId="4" fontId="28" fillId="0" borderId="69" xfId="0" applyNumberFormat="1" applyFont="1" applyFill="1" applyBorder="1" applyAlignment="1">
      <alignment horizontal="right" vertical="center" wrapText="1"/>
    </xf>
    <xf numFmtId="4" fontId="28" fillId="0" borderId="73" xfId="0" applyNumberFormat="1" applyFont="1" applyFill="1" applyBorder="1" applyAlignment="1">
      <alignment horizontal="right" vertical="center" wrapText="1"/>
    </xf>
    <xf numFmtId="4" fontId="28" fillId="0" borderId="66" xfId="0" applyNumberFormat="1" applyFont="1" applyFill="1" applyBorder="1" applyAlignment="1">
      <alignment horizontal="center" vertical="center"/>
    </xf>
    <xf numFmtId="0" fontId="28" fillId="0" borderId="9" xfId="0" applyFont="1" applyBorder="1" applyAlignment="1">
      <alignment vertical="center" wrapText="1"/>
    </xf>
    <xf numFmtId="0" fontId="28" fillId="0" borderId="38" xfId="0" applyFont="1" applyBorder="1" applyAlignment="1">
      <alignment horizontal="center" vertical="center" wrapText="1"/>
    </xf>
    <xf numFmtId="4" fontId="28" fillId="0" borderId="9" xfId="0" applyNumberFormat="1" applyFont="1" applyBorder="1" applyAlignment="1">
      <alignment horizontal="right" vertical="center" wrapText="1"/>
    </xf>
    <xf numFmtId="4" fontId="28" fillId="0" borderId="74" xfId="0" applyNumberFormat="1" applyFont="1" applyFill="1" applyBorder="1" applyAlignment="1">
      <alignment horizontal="right" vertical="center" wrapText="1"/>
    </xf>
    <xf numFmtId="4" fontId="28" fillId="0" borderId="67" xfId="0" applyNumberFormat="1" applyFont="1" applyFill="1" applyBorder="1" applyAlignment="1">
      <alignment horizontal="right" vertical="center" wrapText="1"/>
    </xf>
    <xf numFmtId="4" fontId="28" fillId="0" borderId="75" xfId="0" applyNumberFormat="1" applyFont="1" applyFill="1" applyBorder="1" applyAlignment="1">
      <alignment horizontal="right" vertical="center"/>
    </xf>
    <xf numFmtId="4" fontId="28" fillId="0" borderId="67" xfId="0" applyNumberFormat="1" applyFont="1" applyFill="1" applyBorder="1" applyAlignment="1">
      <alignment horizontal="right" vertical="center"/>
    </xf>
    <xf numFmtId="4" fontId="28" fillId="0" borderId="28" xfId="0" applyNumberFormat="1" applyFont="1" applyFill="1" applyBorder="1" applyAlignment="1">
      <alignment horizontal="center" vertical="center"/>
    </xf>
    <xf numFmtId="4" fontId="28" fillId="0" borderId="0" xfId="0" applyNumberFormat="1" applyFont="1" applyAlignment="1">
      <alignment horizontal="center" vertical="center"/>
    </xf>
    <xf numFmtId="4" fontId="28" fillId="0" borderId="0" xfId="0" applyNumberFormat="1" applyFont="1" applyFill="1" applyBorder="1" applyAlignment="1">
      <alignment horizontal="center" vertical="center"/>
    </xf>
    <xf numFmtId="4" fontId="28" fillId="0" borderId="9" xfId="0" applyNumberFormat="1" applyFont="1" applyFill="1" applyBorder="1" applyAlignment="1">
      <alignment horizontal="center" vertical="center"/>
    </xf>
    <xf numFmtId="0" fontId="28" fillId="0" borderId="9" xfId="0" applyFont="1" applyFill="1" applyBorder="1" applyAlignment="1">
      <alignment horizontal="center" vertical="center" wrapText="1"/>
    </xf>
    <xf numFmtId="4" fontId="28" fillId="0" borderId="10" xfId="0" applyNumberFormat="1" applyFont="1" applyFill="1" applyBorder="1" applyAlignment="1">
      <alignment horizontal="center" vertical="center"/>
    </xf>
    <xf numFmtId="4" fontId="28" fillId="0" borderId="40" xfId="0" applyNumberFormat="1" applyFont="1" applyFill="1" applyBorder="1" applyAlignment="1">
      <alignment horizontal="center" vertical="center"/>
    </xf>
    <xf numFmtId="4" fontId="28" fillId="0" borderId="22" xfId="0" applyNumberFormat="1" applyFont="1" applyFill="1" applyBorder="1" applyAlignment="1">
      <alignment horizontal="left" vertical="top" wrapText="1"/>
    </xf>
    <xf numFmtId="4" fontId="28" fillId="0" borderId="33" xfId="0" applyNumberFormat="1" applyFont="1" applyFill="1" applyBorder="1" applyAlignment="1">
      <alignment horizontal="center" vertical="center"/>
    </xf>
    <xf numFmtId="4" fontId="28" fillId="0" borderId="16" xfId="0" applyNumberFormat="1" applyFont="1" applyFill="1" applyBorder="1" applyAlignment="1">
      <alignment horizontal="left" vertical="top" wrapText="1"/>
    </xf>
    <xf numFmtId="4" fontId="28" fillId="0" borderId="0" xfId="0" applyNumberFormat="1" applyFont="1" applyFill="1" applyBorder="1" applyAlignment="1">
      <alignment horizontal="center" vertical="center"/>
    </xf>
    <xf numFmtId="4" fontId="28" fillId="0" borderId="0" xfId="0" applyNumberFormat="1" applyFont="1" applyFill="1" applyBorder="1" applyAlignment="1">
      <alignment horizontal="center" vertical="center" wrapText="1"/>
    </xf>
    <xf numFmtId="4" fontId="29" fillId="0" borderId="1" xfId="0" applyNumberFormat="1" applyFont="1" applyFill="1" applyBorder="1" applyAlignment="1">
      <alignment horizontal="center" vertical="center"/>
    </xf>
    <xf numFmtId="4" fontId="28" fillId="0" borderId="15" xfId="0" applyNumberFormat="1" applyFont="1" applyFill="1" applyBorder="1" applyAlignment="1">
      <alignment horizontal="center" vertical="center"/>
    </xf>
    <xf numFmtId="4" fontId="28" fillId="0" borderId="7" xfId="0" applyNumberFormat="1" applyFont="1" applyFill="1" applyBorder="1" applyAlignment="1">
      <alignment horizontal="center" vertical="center"/>
    </xf>
    <xf numFmtId="4" fontId="28" fillId="0" borderId="3" xfId="0" applyNumberFormat="1" applyFont="1" applyFill="1" applyBorder="1" applyAlignment="1">
      <alignment horizontal="center" vertical="center"/>
    </xf>
    <xf numFmtId="4" fontId="28" fillId="0" borderId="54" xfId="0" applyNumberFormat="1" applyFont="1" applyFill="1" applyBorder="1" applyAlignment="1">
      <alignment horizontal="center" vertical="center"/>
    </xf>
    <xf numFmtId="4" fontId="28" fillId="2" borderId="44" xfId="0" applyNumberFormat="1" applyFont="1" applyFill="1" applyBorder="1" applyAlignment="1">
      <alignment horizontal="center" vertical="center"/>
    </xf>
    <xf numFmtId="4" fontId="28" fillId="2" borderId="38" xfId="0" applyNumberFormat="1" applyFont="1" applyFill="1" applyBorder="1" applyAlignment="1">
      <alignment horizontal="center" vertical="center"/>
    </xf>
    <xf numFmtId="4" fontId="28" fillId="0" borderId="3" xfId="0" applyNumberFormat="1" applyFont="1" applyFill="1" applyBorder="1" applyAlignment="1">
      <alignment vertical="center"/>
    </xf>
    <xf numFmtId="4" fontId="28" fillId="0" borderId="15" xfId="0" applyNumberFormat="1" applyFont="1" applyFill="1" applyBorder="1" applyAlignment="1">
      <alignment vertical="center"/>
    </xf>
    <xf numFmtId="4" fontId="28" fillId="0" borderId="13" xfId="0" applyNumberFormat="1" applyFont="1" applyFill="1" applyBorder="1" applyAlignment="1">
      <alignment horizontal="center" vertical="center"/>
    </xf>
    <xf numFmtId="4" fontId="28" fillId="0" borderId="44" xfId="0" applyNumberFormat="1" applyFont="1" applyFill="1" applyBorder="1" applyAlignment="1">
      <alignment horizontal="center" vertical="center"/>
    </xf>
    <xf numFmtId="4" fontId="28" fillId="0" borderId="38" xfId="0" applyNumberFormat="1" applyFont="1" applyFill="1" applyBorder="1" applyAlignment="1">
      <alignment horizontal="center" vertical="center"/>
    </xf>
    <xf numFmtId="4" fontId="28" fillId="0" borderId="54" xfId="0" applyNumberFormat="1" applyFont="1" applyFill="1" applyBorder="1" applyAlignment="1">
      <alignment vertical="center"/>
    </xf>
    <xf numFmtId="4" fontId="28" fillId="0" borderId="51" xfId="0" applyNumberFormat="1" applyFont="1" applyFill="1" applyBorder="1" applyAlignment="1">
      <alignment horizontal="center" vertical="center"/>
    </xf>
    <xf numFmtId="4" fontId="28" fillId="0" borderId="72" xfId="0" applyNumberFormat="1" applyFont="1" applyFill="1" applyBorder="1" applyAlignment="1">
      <alignment horizontal="center" vertical="center"/>
    </xf>
    <xf numFmtId="4" fontId="28" fillId="0" borderId="55" xfId="0" applyNumberFormat="1" applyFont="1" applyFill="1" applyBorder="1" applyAlignment="1">
      <alignment horizontal="center" vertical="center" wrapText="1"/>
    </xf>
    <xf numFmtId="4" fontId="28" fillId="0" borderId="38" xfId="0" applyNumberFormat="1" applyFont="1" applyFill="1" applyBorder="1" applyAlignment="1">
      <alignment horizontal="left" vertical="top" wrapText="1"/>
    </xf>
    <xf numFmtId="4" fontId="28" fillId="0" borderId="55" xfId="0" applyNumberFormat="1" applyFont="1" applyFill="1" applyBorder="1" applyAlignment="1">
      <alignment wrapText="1"/>
    </xf>
    <xf numFmtId="4" fontId="28" fillId="0" borderId="44" xfId="0" applyNumberFormat="1" applyFont="1" applyFill="1" applyBorder="1" applyAlignment="1">
      <alignment horizontal="left" vertical="top" wrapText="1"/>
    </xf>
    <xf numFmtId="4" fontId="28" fillId="0" borderId="54" xfId="0" applyNumberFormat="1" applyFont="1" applyFill="1" applyBorder="1" applyAlignment="1">
      <alignment wrapText="1"/>
    </xf>
    <xf numFmtId="4" fontId="28" fillId="0" borderId="44" xfId="0" applyNumberFormat="1" applyFont="1" applyFill="1" applyBorder="1" applyAlignment="1">
      <alignment vertical="center" wrapText="1"/>
    </xf>
    <xf numFmtId="4" fontId="28" fillId="2" borderId="55" xfId="0" applyNumberFormat="1" applyFont="1" applyFill="1" applyBorder="1" applyAlignment="1">
      <alignment vertical="center"/>
    </xf>
    <xf numFmtId="0" fontId="28" fillId="0" borderId="55" xfId="0" applyFont="1" applyFill="1" applyBorder="1"/>
    <xf numFmtId="0" fontId="28" fillId="0" borderId="22" xfId="0" applyFont="1" applyFill="1" applyBorder="1" applyAlignment="1">
      <alignment vertical="top" wrapText="1"/>
    </xf>
    <xf numFmtId="0" fontId="28" fillId="0" borderId="62" xfId="0" applyFont="1" applyFill="1" applyBorder="1" applyAlignment="1">
      <alignment vertical="top" wrapText="1"/>
    </xf>
    <xf numFmtId="0" fontId="28" fillId="0" borderId="9"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8" xfId="0" applyFont="1" applyFill="1" applyBorder="1" applyAlignment="1">
      <alignment horizontal="center" vertical="center" wrapText="1"/>
    </xf>
    <xf numFmtId="4" fontId="28" fillId="0" borderId="22" xfId="0" applyNumberFormat="1" applyFont="1" applyFill="1" applyBorder="1" applyAlignment="1">
      <alignment horizontal="left" vertical="top" wrapText="1"/>
    </xf>
    <xf numFmtId="4" fontId="28" fillId="0" borderId="51" xfId="0" applyNumberFormat="1" applyFont="1" applyFill="1" applyBorder="1" applyAlignment="1">
      <alignment vertical="center" wrapText="1"/>
    </xf>
    <xf numFmtId="4" fontId="29" fillId="11" borderId="8" xfId="0" applyNumberFormat="1" applyFont="1" applyFill="1" applyBorder="1" applyAlignment="1">
      <alignment horizontal="right" vertical="center"/>
    </xf>
    <xf numFmtId="4" fontId="28" fillId="2" borderId="9" xfId="0" applyNumberFormat="1" applyFont="1" applyFill="1" applyBorder="1" applyAlignment="1">
      <alignment horizontal="right" vertical="center"/>
    </xf>
    <xf numFmtId="0" fontId="28" fillId="0" borderId="8" xfId="0" applyFont="1" applyFill="1" applyBorder="1" applyAlignment="1">
      <alignment horizontal="left" vertical="top" wrapText="1"/>
    </xf>
    <xf numFmtId="4" fontId="29" fillId="0" borderId="10" xfId="0" applyNumberFormat="1" applyFont="1" applyFill="1" applyBorder="1"/>
    <xf numFmtId="0" fontId="62" fillId="0" borderId="0" xfId="39" applyFont="1" applyAlignment="1">
      <alignment horizontal="center"/>
    </xf>
    <xf numFmtId="0" fontId="63" fillId="0" borderId="1" xfId="39" applyFont="1" applyBorder="1" applyAlignment="1">
      <alignment horizontal="center" vertical="center"/>
    </xf>
    <xf numFmtId="0" fontId="63" fillId="0" borderId="10" xfId="39" applyFont="1" applyBorder="1" applyAlignment="1">
      <alignment horizontal="center" vertical="center"/>
    </xf>
    <xf numFmtId="0" fontId="63" fillId="0" borderId="8" xfId="39" applyFont="1" applyBorder="1" applyAlignment="1">
      <alignment horizontal="center" vertical="center"/>
    </xf>
    <xf numFmtId="0" fontId="63" fillId="0" borderId="7" xfId="39" applyFont="1" applyBorder="1" applyAlignment="1">
      <alignment horizontal="center" vertical="center" wrapText="1"/>
    </xf>
    <xf numFmtId="0" fontId="63" fillId="0" borderId="11" xfId="39" applyFont="1" applyBorder="1" applyAlignment="1">
      <alignment horizontal="center" vertical="center" wrapText="1"/>
    </xf>
    <xf numFmtId="0" fontId="63" fillId="0" borderId="12" xfId="39" applyFont="1" applyBorder="1" applyAlignment="1">
      <alignment horizontal="center" vertical="center" wrapText="1"/>
    </xf>
    <xf numFmtId="0" fontId="63" fillId="5" borderId="7" xfId="39" applyFont="1" applyFill="1" applyBorder="1" applyAlignment="1">
      <alignment horizontal="center" vertical="center" wrapText="1"/>
    </xf>
    <xf numFmtId="0" fontId="63" fillId="5" borderId="11" xfId="39" applyFont="1" applyFill="1" applyBorder="1" applyAlignment="1">
      <alignment horizontal="center" vertical="center" wrapText="1"/>
    </xf>
    <xf numFmtId="0" fontId="63" fillId="5" borderId="12" xfId="39" applyFont="1" applyFill="1" applyBorder="1" applyAlignment="1">
      <alignment horizontal="center" vertical="center" wrapText="1"/>
    </xf>
    <xf numFmtId="0" fontId="63" fillId="0" borderId="1" xfId="39" applyFont="1" applyBorder="1" applyAlignment="1">
      <alignment horizontal="center" vertical="center" wrapText="1"/>
    </xf>
    <xf numFmtId="171" fontId="62" fillId="5" borderId="10" xfId="39" applyNumberFormat="1" applyFont="1" applyFill="1" applyBorder="1" applyAlignment="1">
      <alignment horizontal="center" vertical="center"/>
    </xf>
    <xf numFmtId="171" fontId="62" fillId="5" borderId="9" xfId="39" applyNumberFormat="1" applyFont="1" applyFill="1" applyBorder="1" applyAlignment="1">
      <alignment horizontal="center" vertical="center"/>
    </xf>
    <xf numFmtId="171" fontId="62" fillId="5" borderId="8" xfId="39" applyNumberFormat="1" applyFont="1" applyFill="1" applyBorder="1" applyAlignment="1">
      <alignment horizontal="center" vertical="center"/>
    </xf>
    <xf numFmtId="171" fontId="62" fillId="2" borderId="10" xfId="39" applyNumberFormat="1" applyFont="1" applyFill="1" applyBorder="1" applyAlignment="1">
      <alignment horizontal="center" vertical="center"/>
    </xf>
    <xf numFmtId="171" fontId="62" fillId="2" borderId="9" xfId="39" applyNumberFormat="1" applyFont="1" applyFill="1" applyBorder="1" applyAlignment="1">
      <alignment horizontal="center" vertical="center"/>
    </xf>
    <xf numFmtId="171" fontId="62" fillId="2" borderId="8" xfId="39" applyNumberFormat="1" applyFont="1" applyFill="1" applyBorder="1" applyAlignment="1">
      <alignment horizontal="center" vertical="center"/>
    </xf>
    <xf numFmtId="0" fontId="34" fillId="2" borderId="1" xfId="0" applyFont="1" applyFill="1" applyBorder="1" applyAlignment="1">
      <alignment horizontal="center" vertical="center" textRotation="90" wrapText="1"/>
    </xf>
    <xf numFmtId="169" fontId="34" fillId="2" borderId="10" xfId="0" applyNumberFormat="1" applyFont="1" applyFill="1" applyBorder="1" applyAlignment="1">
      <alignment horizontal="center" vertical="center" wrapText="1"/>
    </xf>
    <xf numFmtId="169" fontId="34" fillId="2" borderId="9" xfId="0" applyNumberFormat="1" applyFont="1" applyFill="1" applyBorder="1" applyAlignment="1">
      <alignment horizontal="center" vertical="center" wrapText="1"/>
    </xf>
    <xf numFmtId="0" fontId="34" fillId="2" borderId="1" xfId="35" applyFont="1" applyFill="1" applyBorder="1" applyAlignment="1">
      <alignment horizontal="center" vertical="center" textRotation="90" wrapText="1"/>
    </xf>
    <xf numFmtId="0" fontId="41" fillId="2" borderId="0" xfId="0" applyFont="1" applyFill="1" applyAlignment="1">
      <alignment horizontal="left" vertical="center"/>
    </xf>
    <xf numFmtId="0" fontId="42" fillId="2" borderId="0" xfId="0" applyFont="1" applyFill="1" applyAlignment="1">
      <alignment horizontal="center" vertical="center" wrapText="1"/>
    </xf>
    <xf numFmtId="0" fontId="44" fillId="2" borderId="0" xfId="0" applyFont="1" applyFill="1" applyAlignment="1">
      <alignment horizontal="center" vertical="center" wrapText="1"/>
    </xf>
    <xf numFmtId="0" fontId="45" fillId="2" borderId="1"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2" borderId="1" xfId="35" applyFont="1" applyFill="1" applyBorder="1" applyAlignment="1">
      <alignment horizontal="center" vertical="center" wrapText="1"/>
    </xf>
    <xf numFmtId="0" fontId="46" fillId="2" borderId="7" xfId="0" applyFont="1" applyFill="1" applyBorder="1" applyAlignment="1">
      <alignment horizontal="center" vertical="center" wrapText="1"/>
    </xf>
    <xf numFmtId="0" fontId="46" fillId="2" borderId="12" xfId="0" applyFont="1" applyFill="1" applyBorder="1" applyAlignment="1">
      <alignment horizontal="center" vertical="center" wrapText="1"/>
    </xf>
    <xf numFmtId="0" fontId="46" fillId="2" borderId="7" xfId="0" applyFont="1" applyFill="1" applyBorder="1" applyAlignment="1">
      <alignment horizontal="center" vertical="center"/>
    </xf>
    <xf numFmtId="0" fontId="46" fillId="2" borderId="12" xfId="0" applyFont="1" applyFill="1" applyBorder="1" applyAlignment="1">
      <alignment horizontal="center" vertical="center"/>
    </xf>
    <xf numFmtId="0" fontId="45" fillId="2" borderId="0" xfId="0" applyFont="1" applyFill="1" applyAlignment="1">
      <alignment horizontal="left" vertical="center" wrapText="1"/>
    </xf>
    <xf numFmtId="0" fontId="46" fillId="2" borderId="1" xfId="0" applyFont="1" applyFill="1" applyBorder="1" applyAlignment="1">
      <alignment horizontal="center" vertical="center" wrapText="1"/>
    </xf>
    <xf numFmtId="0" fontId="31" fillId="2" borderId="0" xfId="0" applyFont="1" applyFill="1" applyAlignment="1">
      <alignment horizontal="left" vertical="center"/>
    </xf>
    <xf numFmtId="0" fontId="32" fillId="2" borderId="0" xfId="0" applyFont="1" applyFill="1" applyAlignment="1">
      <alignment horizontal="center" vertical="center" wrapText="1"/>
    </xf>
    <xf numFmtId="0" fontId="26" fillId="2" borderId="0" xfId="0" applyFont="1" applyFill="1" applyAlignment="1">
      <alignment horizontal="center" vertical="center" wrapText="1"/>
    </xf>
    <xf numFmtId="0" fontId="39"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textRotation="90" wrapText="1"/>
    </xf>
    <xf numFmtId="0" fontId="38" fillId="2" borderId="1" xfId="0" applyFont="1" applyFill="1" applyBorder="1" applyAlignment="1">
      <alignment horizontal="center" vertical="center" wrapText="1"/>
    </xf>
    <xf numFmtId="0" fontId="66" fillId="2" borderId="1" xfId="35" applyFont="1" applyFill="1" applyBorder="1" applyAlignment="1">
      <alignment horizontal="center" vertical="center" textRotation="90" wrapText="1"/>
    </xf>
    <xf numFmtId="0" fontId="66" fillId="2" borderId="1" xfId="35" applyFont="1" applyFill="1" applyBorder="1" applyAlignment="1">
      <alignment horizontal="center" vertical="center" wrapText="1"/>
    </xf>
    <xf numFmtId="169" fontId="30" fillId="2" borderId="10" xfId="0" applyNumberFormat="1" applyFont="1" applyFill="1" applyBorder="1" applyAlignment="1">
      <alignment horizontal="center" vertical="center" wrapText="1"/>
    </xf>
    <xf numFmtId="169" fontId="30" fillId="2" borderId="9" xfId="0" applyNumberFormat="1" applyFont="1" applyFill="1" applyBorder="1" applyAlignment="1">
      <alignment horizontal="center" vertical="center" wrapText="1"/>
    </xf>
    <xf numFmtId="0" fontId="51" fillId="2" borderId="0" xfId="292" applyFont="1" applyFill="1" applyAlignment="1">
      <alignment horizontal="center" vertical="center" wrapText="1"/>
    </xf>
    <xf numFmtId="0" fontId="0" fillId="0" borderId="0" xfId="0" applyAlignment="1">
      <alignment horizontal="center" vertical="center" wrapText="1"/>
    </xf>
    <xf numFmtId="0" fontId="51" fillId="2" borderId="0" xfId="292" applyFont="1" applyFill="1" applyAlignment="1">
      <alignment horizontal="left" vertical="center" wrapText="1"/>
    </xf>
    <xf numFmtId="0" fontId="51" fillId="2" borderId="4" xfId="292" applyFont="1" applyFill="1" applyBorder="1" applyAlignment="1">
      <alignment horizontal="center" vertical="center"/>
    </xf>
    <xf numFmtId="0" fontId="51" fillId="2" borderId="0" xfId="6" applyFont="1" applyFill="1" applyBorder="1" applyAlignment="1">
      <alignment horizontal="left" vertical="center" wrapText="1"/>
    </xf>
    <xf numFmtId="0" fontId="51" fillId="2" borderId="0" xfId="292" applyFont="1" applyFill="1" applyAlignment="1">
      <alignment horizontal="left" vertical="center"/>
    </xf>
    <xf numFmtId="0" fontId="49" fillId="2" borderId="0" xfId="292" applyFont="1" applyFill="1" applyAlignment="1">
      <alignment horizontal="center" vertical="center"/>
    </xf>
    <xf numFmtId="0" fontId="50" fillId="0" borderId="30" xfId="164" applyNumberFormat="1" applyFont="1" applyFill="1" applyBorder="1" applyAlignment="1">
      <alignment horizontal="center" vertical="center" wrapText="1"/>
    </xf>
    <xf numFmtId="0" fontId="50" fillId="0" borderId="9" xfId="164" applyNumberFormat="1" applyFont="1" applyFill="1" applyBorder="1" applyAlignment="1">
      <alignment horizontal="center" vertical="center" wrapText="1"/>
    </xf>
    <xf numFmtId="0" fontId="50" fillId="0" borderId="8" xfId="164" applyNumberFormat="1" applyFont="1" applyFill="1" applyBorder="1" applyAlignment="1">
      <alignment horizontal="center" vertical="center" wrapText="1"/>
    </xf>
    <xf numFmtId="0" fontId="54" fillId="0" borderId="30" xfId="164" applyNumberFormat="1" applyFont="1" applyFill="1" applyBorder="1" applyAlignment="1">
      <alignment horizontal="center" vertical="center" wrapText="1"/>
    </xf>
    <xf numFmtId="0" fontId="54" fillId="0" borderId="9" xfId="164" applyNumberFormat="1" applyFont="1" applyFill="1" applyBorder="1" applyAlignment="1">
      <alignment horizontal="center" vertical="center" wrapText="1"/>
    </xf>
    <xf numFmtId="0" fontId="54" fillId="0" borderId="8" xfId="164" applyNumberFormat="1" applyFont="1" applyFill="1" applyBorder="1" applyAlignment="1">
      <alignment horizontal="center" vertical="center" wrapText="1"/>
    </xf>
    <xf numFmtId="0" fontId="51" fillId="2" borderId="2" xfId="292" applyFont="1" applyFill="1" applyBorder="1" applyAlignment="1">
      <alignment horizontal="center" vertical="center"/>
    </xf>
    <xf numFmtId="0" fontId="87" fillId="10" borderId="0" xfId="292" applyFont="1" applyFill="1" applyBorder="1" applyAlignment="1">
      <alignment horizontal="right" vertical="center" wrapText="1"/>
    </xf>
    <xf numFmtId="0" fontId="28" fillId="10" borderId="0" xfId="0" applyFont="1" applyFill="1" applyAlignment="1">
      <alignment horizontal="right" vertical="center" wrapText="1"/>
    </xf>
    <xf numFmtId="0" fontId="51" fillId="2" borderId="37" xfId="292" applyFont="1" applyFill="1" applyBorder="1" applyAlignment="1">
      <alignment horizontal="left" vertical="center"/>
    </xf>
    <xf numFmtId="0" fontId="50" fillId="2" borderId="0" xfId="292" applyFont="1" applyFill="1" applyBorder="1" applyAlignment="1">
      <alignment horizontal="right" vertical="center" wrapText="1"/>
    </xf>
    <xf numFmtId="0" fontId="50" fillId="2" borderId="0" xfId="292" applyFont="1" applyFill="1" applyBorder="1" applyAlignment="1">
      <alignment horizontal="center" vertical="center"/>
    </xf>
    <xf numFmtId="0" fontId="50" fillId="0" borderId="0" xfId="292" applyFont="1" applyFill="1" applyBorder="1" applyAlignment="1">
      <alignment horizontal="center" vertical="center"/>
    </xf>
    <xf numFmtId="0" fontId="54" fillId="2" borderId="33" xfId="164" applyNumberFormat="1" applyFont="1" applyFill="1" applyBorder="1" applyAlignment="1">
      <alignment horizontal="center" vertical="center" wrapText="1"/>
    </xf>
    <xf numFmtId="0" fontId="54" fillId="2" borderId="35" xfId="164" applyNumberFormat="1" applyFont="1" applyFill="1" applyBorder="1" applyAlignment="1">
      <alignment horizontal="center" vertical="center" wrapText="1"/>
    </xf>
    <xf numFmtId="0" fontId="50" fillId="0" borderId="0" xfId="292" applyFont="1" applyFill="1" applyAlignment="1">
      <alignment horizontal="center" vertical="center"/>
    </xf>
    <xf numFmtId="0" fontId="0" fillId="0" borderId="0" xfId="0" applyFill="1" applyAlignment="1">
      <alignment horizontal="center" vertical="center"/>
    </xf>
    <xf numFmtId="0" fontId="87" fillId="2" borderId="0" xfId="292" applyFont="1" applyFill="1" applyBorder="1" applyAlignment="1">
      <alignment horizontal="center" vertical="center"/>
    </xf>
    <xf numFmtId="0" fontId="50" fillId="2" borderId="0" xfId="292" applyFont="1" applyFill="1" applyBorder="1" applyAlignment="1">
      <alignment horizontal="right" vertical="center"/>
    </xf>
    <xf numFmtId="0" fontId="50" fillId="2" borderId="0" xfId="292" applyFont="1" applyFill="1" applyAlignment="1">
      <alignment horizontal="right" vertical="center"/>
    </xf>
    <xf numFmtId="0" fontId="38" fillId="0" borderId="0" xfId="164" applyNumberFormat="1" applyFont="1" applyFill="1" applyBorder="1" applyAlignment="1">
      <alignment horizontal="center"/>
    </xf>
    <xf numFmtId="0" fontId="54" fillId="0" borderId="29" xfId="164" applyNumberFormat="1" applyFont="1" applyFill="1" applyBorder="1" applyAlignment="1">
      <alignment horizontal="center" vertical="center"/>
    </xf>
    <xf numFmtId="0" fontId="54" fillId="0" borderId="32" xfId="164" applyNumberFormat="1" applyFont="1" applyFill="1" applyBorder="1" applyAlignment="1">
      <alignment horizontal="center" vertical="center"/>
    </xf>
    <xf numFmtId="0" fontId="54" fillId="0" borderId="34" xfId="164" applyNumberFormat="1" applyFont="1" applyFill="1" applyBorder="1" applyAlignment="1">
      <alignment horizontal="center" vertical="center"/>
    </xf>
    <xf numFmtId="0" fontId="54" fillId="0" borderId="13" xfId="164" applyNumberFormat="1" applyFont="1" applyFill="1" applyBorder="1" applyAlignment="1">
      <alignment horizontal="center" vertical="center"/>
    </xf>
    <xf numFmtId="0" fontId="54" fillId="0" borderId="31" xfId="164" applyNumberFormat="1" applyFont="1" applyFill="1" applyBorder="1" applyAlignment="1">
      <alignment horizontal="center" vertical="center"/>
    </xf>
    <xf numFmtId="0" fontId="54" fillId="0" borderId="23" xfId="164" applyNumberFormat="1" applyFont="1" applyFill="1" applyBorder="1" applyAlignment="1">
      <alignment horizontal="center" vertical="center"/>
    </xf>
    <xf numFmtId="49" fontId="62" fillId="2" borderId="1" xfId="5" applyNumberFormat="1" applyFont="1" applyFill="1" applyBorder="1" applyAlignment="1">
      <alignment horizontal="center" vertical="center" wrapText="1"/>
    </xf>
    <xf numFmtId="0" fontId="63" fillId="0" borderId="0" xfId="5" applyFont="1" applyBorder="1" applyAlignment="1">
      <alignment horizontal="center" vertical="center"/>
    </xf>
    <xf numFmtId="0" fontId="62" fillId="0" borderId="1" xfId="5" applyFont="1" applyBorder="1" applyAlignment="1">
      <alignment horizontal="center" vertical="center" wrapText="1"/>
    </xf>
    <xf numFmtId="49" fontId="62" fillId="0" borderId="1" xfId="5" applyNumberFormat="1" applyFont="1" applyBorder="1" applyAlignment="1">
      <alignment horizontal="center" vertical="center" wrapText="1"/>
    </xf>
    <xf numFmtId="0" fontId="62" fillId="0" borderId="10" xfId="5" applyFont="1" applyBorder="1" applyAlignment="1">
      <alignment horizontal="center" vertical="center" wrapText="1"/>
    </xf>
    <xf numFmtId="0" fontId="62" fillId="0" borderId="9" xfId="5" applyFont="1" applyBorder="1" applyAlignment="1">
      <alignment horizontal="center" vertical="center" wrapText="1"/>
    </xf>
    <xf numFmtId="0" fontId="49" fillId="5" borderId="7" xfId="5" applyFont="1" applyFill="1" applyBorder="1" applyAlignment="1">
      <alignment horizontal="center" vertical="center" wrapText="1"/>
    </xf>
    <xf numFmtId="0" fontId="49" fillId="5" borderId="11" xfId="5" applyFont="1" applyFill="1" applyBorder="1" applyAlignment="1">
      <alignment horizontal="center" vertical="center" wrapText="1"/>
    </xf>
    <xf numFmtId="0" fontId="49" fillId="5" borderId="12" xfId="5" applyFont="1" applyFill="1" applyBorder="1" applyAlignment="1">
      <alignment horizontal="center" vertical="center" wrapText="1"/>
    </xf>
    <xf numFmtId="49" fontId="62" fillId="2" borderId="10" xfId="5" applyNumberFormat="1" applyFont="1" applyFill="1" applyBorder="1" applyAlignment="1">
      <alignment horizontal="center" vertical="center" wrapText="1"/>
    </xf>
    <xf numFmtId="49" fontId="62" fillId="2" borderId="9" xfId="5" applyNumberFormat="1" applyFont="1" applyFill="1" applyBorder="1" applyAlignment="1">
      <alignment horizontal="center" vertical="center" wrapText="1"/>
    </xf>
    <xf numFmtId="49" fontId="62" fillId="2" borderId="8" xfId="5" applyNumberFormat="1" applyFont="1" applyFill="1" applyBorder="1" applyAlignment="1">
      <alignment horizontal="center" vertical="center" wrapText="1"/>
    </xf>
    <xf numFmtId="0" fontId="49" fillId="5" borderId="3" xfId="5" applyFont="1" applyFill="1" applyBorder="1" applyAlignment="1">
      <alignment horizontal="center"/>
    </xf>
    <xf numFmtId="0" fontId="49" fillId="5" borderId="2" xfId="5" applyFont="1" applyFill="1" applyBorder="1" applyAlignment="1">
      <alignment horizontal="center"/>
    </xf>
    <xf numFmtId="0" fontId="49" fillId="5" borderId="16" xfId="5" applyFont="1" applyFill="1" applyBorder="1" applyAlignment="1">
      <alignment horizontal="center"/>
    </xf>
    <xf numFmtId="0" fontId="49" fillId="5" borderId="1" xfId="5" applyFont="1" applyFill="1" applyBorder="1" applyAlignment="1">
      <alignment horizontal="center"/>
    </xf>
    <xf numFmtId="0" fontId="49" fillId="5" borderId="3" xfId="5" applyFont="1" applyFill="1" applyBorder="1" applyAlignment="1">
      <alignment horizontal="center" vertical="center" wrapText="1"/>
    </xf>
    <xf numFmtId="0" fontId="49" fillId="5" borderId="2" xfId="5" applyFont="1" applyFill="1" applyBorder="1" applyAlignment="1">
      <alignment horizontal="center" vertical="center" wrapText="1"/>
    </xf>
    <xf numFmtId="0" fontId="49" fillId="5" borderId="16" xfId="5" applyFont="1" applyFill="1" applyBorder="1" applyAlignment="1">
      <alignment horizontal="center" vertical="center" wrapText="1"/>
    </xf>
    <xf numFmtId="49" fontId="62" fillId="0" borderId="1" xfId="5" applyNumberFormat="1" applyFont="1" applyFill="1" applyBorder="1" applyAlignment="1">
      <alignment horizontal="center" vertical="center" wrapText="1"/>
    </xf>
    <xf numFmtId="2" fontId="62" fillId="0" borderId="1" xfId="5" applyNumberFormat="1" applyFont="1" applyFill="1" applyBorder="1" applyAlignment="1">
      <alignment horizontal="center" vertical="center" wrapText="1"/>
    </xf>
    <xf numFmtId="4" fontId="62" fillId="0" borderId="1" xfId="5" applyNumberFormat="1" applyFont="1" applyFill="1" applyBorder="1" applyAlignment="1">
      <alignment horizontal="center" vertical="center" wrapText="1"/>
    </xf>
    <xf numFmtId="0" fontId="62" fillId="0" borderId="1" xfId="5" applyFont="1" applyFill="1" applyBorder="1" applyAlignment="1">
      <alignment horizontal="center" vertical="center" wrapText="1"/>
    </xf>
    <xf numFmtId="4" fontId="0" fillId="2" borderId="1" xfId="0" applyNumberFormat="1" applyFill="1" applyBorder="1" applyAlignment="1">
      <alignment horizontal="center" vertical="center" wrapText="1"/>
    </xf>
    <xf numFmtId="0" fontId="62" fillId="0" borderId="1" xfId="5" applyFont="1" applyFill="1" applyBorder="1" applyAlignment="1">
      <alignment horizontal="center" vertical="center"/>
    </xf>
    <xf numFmtId="0" fontId="62" fillId="0" borderId="10" xfId="0" applyFont="1" applyBorder="1" applyAlignment="1">
      <alignment horizontal="center" vertical="center" wrapText="1"/>
    </xf>
    <xf numFmtId="0" fontId="62" fillId="0" borderId="8" xfId="0" applyFont="1" applyBorder="1" applyAlignment="1">
      <alignment horizontal="center" vertical="center" wrapText="1"/>
    </xf>
    <xf numFmtId="0" fontId="63" fillId="0" borderId="0" xfId="5" applyFont="1" applyFill="1" applyAlignment="1">
      <alignment horizontal="center" vertical="center" wrapText="1"/>
    </xf>
    <xf numFmtId="0" fontId="77" fillId="0" borderId="0" xfId="5" applyFont="1" applyFill="1" applyBorder="1" applyAlignment="1">
      <alignment horizontal="center"/>
    </xf>
    <xf numFmtId="0" fontId="49" fillId="2" borderId="0" xfId="5" applyFont="1" applyFill="1" applyBorder="1" applyAlignment="1">
      <alignment horizontal="center" vertical="center" wrapText="1"/>
    </xf>
    <xf numFmtId="4" fontId="62" fillId="2" borderId="1" xfId="5" applyNumberFormat="1" applyFont="1" applyFill="1" applyBorder="1" applyAlignment="1">
      <alignment horizontal="center" vertical="center" wrapText="1"/>
    </xf>
    <xf numFmtId="0" fontId="62" fillId="0" borderId="10" xfId="5" applyFont="1" applyFill="1" applyBorder="1" applyAlignment="1">
      <alignment horizontal="center" vertical="center"/>
    </xf>
    <xf numFmtId="0" fontId="62" fillId="0" borderId="8" xfId="5" applyFont="1" applyFill="1" applyBorder="1" applyAlignment="1">
      <alignment horizontal="center" vertical="center"/>
    </xf>
    <xf numFmtId="0" fontId="63" fillId="5" borderId="7" xfId="5" applyFont="1" applyFill="1" applyBorder="1" applyAlignment="1">
      <alignment horizontal="right"/>
    </xf>
    <xf numFmtId="0" fontId="63" fillId="5" borderId="11" xfId="5" applyFont="1" applyFill="1" applyBorder="1" applyAlignment="1">
      <alignment horizontal="right"/>
    </xf>
    <xf numFmtId="0" fontId="63" fillId="5" borderId="12" xfId="5" applyFont="1" applyFill="1" applyBorder="1" applyAlignment="1">
      <alignment horizontal="right"/>
    </xf>
    <xf numFmtId="0" fontId="63" fillId="2" borderId="7" xfId="5" applyFont="1" applyFill="1" applyBorder="1" applyAlignment="1">
      <alignment horizontal="right"/>
    </xf>
    <xf numFmtId="0" fontId="63" fillId="2" borderId="11" xfId="5" applyFont="1" applyFill="1" applyBorder="1" applyAlignment="1">
      <alignment horizontal="right"/>
    </xf>
    <xf numFmtId="0" fontId="63" fillId="2" borderId="12" xfId="5" applyFont="1" applyFill="1" applyBorder="1" applyAlignment="1">
      <alignment horizontal="right"/>
    </xf>
    <xf numFmtId="0" fontId="62" fillId="2" borderId="1" xfId="0" applyFont="1" applyFill="1" applyBorder="1" applyAlignment="1">
      <alignment horizontal="center" vertical="center" wrapText="1"/>
    </xf>
    <xf numFmtId="0" fontId="62" fillId="2" borderId="1" xfId="5" applyFont="1" applyFill="1" applyBorder="1" applyAlignment="1">
      <alignment horizontal="center" vertical="center" wrapText="1"/>
    </xf>
    <xf numFmtId="0" fontId="62" fillId="2" borderId="10" xfId="5" applyFont="1" applyFill="1" applyBorder="1" applyAlignment="1">
      <alignment horizontal="center" vertical="center" wrapText="1"/>
    </xf>
    <xf numFmtId="0" fontId="62" fillId="2" borderId="9" xfId="5" applyFont="1" applyFill="1" applyBorder="1" applyAlignment="1">
      <alignment horizontal="center" vertical="center" wrapText="1"/>
    </xf>
    <xf numFmtId="0" fontId="62" fillId="2" borderId="8" xfId="5" applyFont="1" applyFill="1" applyBorder="1" applyAlignment="1">
      <alignment horizontal="center" vertical="center" wrapText="1"/>
    </xf>
    <xf numFmtId="0" fontId="62" fillId="2" borderId="1" xfId="5" applyFont="1" applyFill="1" applyBorder="1" applyAlignment="1">
      <alignment horizontal="center" vertical="center"/>
    </xf>
    <xf numFmtId="0" fontId="68" fillId="2" borderId="1" xfId="0" applyFont="1" applyFill="1" applyBorder="1" applyAlignment="1">
      <alignment horizontal="center" vertical="center"/>
    </xf>
    <xf numFmtId="0" fontId="68" fillId="2" borderId="1" xfId="0" applyFont="1" applyFill="1" applyBorder="1" applyAlignment="1">
      <alignment horizontal="center" vertical="center" wrapText="1"/>
    </xf>
    <xf numFmtId="0" fontId="68" fillId="2" borderId="10" xfId="0" applyFont="1" applyFill="1" applyBorder="1" applyAlignment="1">
      <alignment horizontal="center" vertical="center" wrapText="1"/>
    </xf>
    <xf numFmtId="0" fontId="68" fillId="2" borderId="9" xfId="0" applyFont="1" applyFill="1" applyBorder="1" applyAlignment="1">
      <alignment horizontal="center" vertical="center" wrapText="1"/>
    </xf>
    <xf numFmtId="0" fontId="68" fillId="2" borderId="8" xfId="0" applyFont="1" applyFill="1" applyBorder="1" applyAlignment="1">
      <alignment horizontal="center" vertical="center" wrapText="1"/>
    </xf>
    <xf numFmtId="0" fontId="101" fillId="0" borderId="10" xfId="0" applyFont="1" applyBorder="1" applyAlignment="1">
      <alignment horizontal="center" vertical="center" wrapText="1"/>
    </xf>
    <xf numFmtId="0" fontId="101" fillId="0" borderId="9" xfId="0" applyFont="1" applyBorder="1" applyAlignment="1">
      <alignment horizontal="center" vertical="center" wrapText="1"/>
    </xf>
    <xf numFmtId="0" fontId="101" fillId="0" borderId="8" xfId="0" applyFont="1" applyBorder="1" applyAlignment="1">
      <alignment horizontal="center" vertical="center" wrapText="1"/>
    </xf>
    <xf numFmtId="0" fontId="76" fillId="2" borderId="7" xfId="5" applyFont="1" applyFill="1" applyBorder="1" applyAlignment="1">
      <alignment horizontal="center" vertical="center" wrapText="1"/>
    </xf>
    <xf numFmtId="0" fontId="76" fillId="2" borderId="11" xfId="5" applyFont="1" applyFill="1" applyBorder="1" applyAlignment="1">
      <alignment horizontal="center" vertical="center" wrapText="1"/>
    </xf>
    <xf numFmtId="0" fontId="76" fillId="2" borderId="12" xfId="5" applyFont="1" applyFill="1" applyBorder="1" applyAlignment="1">
      <alignment horizontal="center" vertical="center" wrapText="1"/>
    </xf>
    <xf numFmtId="166" fontId="76" fillId="2" borderId="7" xfId="5" applyNumberFormat="1" applyFont="1" applyFill="1" applyBorder="1" applyAlignment="1">
      <alignment horizontal="center" vertical="center" wrapText="1"/>
    </xf>
    <xf numFmtId="166" fontId="76" fillId="2" borderId="11" xfId="5" applyNumberFormat="1" applyFont="1" applyFill="1" applyBorder="1" applyAlignment="1">
      <alignment horizontal="center" vertical="center" wrapText="1"/>
    </xf>
    <xf numFmtId="166" fontId="76" fillId="2" borderId="12" xfId="5" applyNumberFormat="1" applyFont="1" applyFill="1" applyBorder="1" applyAlignment="1">
      <alignment horizontal="center" vertical="center" wrapText="1"/>
    </xf>
    <xf numFmtId="0" fontId="73" fillId="2" borderId="7" xfId="0" applyFont="1" applyFill="1" applyBorder="1" applyAlignment="1">
      <alignment horizontal="center" vertical="center" wrapText="1"/>
    </xf>
    <xf numFmtId="0" fontId="73" fillId="2" borderId="11" xfId="0" applyFont="1" applyFill="1" applyBorder="1" applyAlignment="1">
      <alignment horizontal="center" vertical="center" wrapText="1"/>
    </xf>
    <xf numFmtId="0" fontId="73" fillId="2" borderId="12" xfId="0" applyFont="1" applyFill="1" applyBorder="1" applyAlignment="1">
      <alignment horizontal="center" vertical="center" wrapText="1"/>
    </xf>
    <xf numFmtId="0" fontId="77" fillId="5" borderId="0" xfId="5" applyFont="1" applyFill="1" applyAlignment="1">
      <alignment horizontal="center" vertical="center" wrapText="1"/>
    </xf>
    <xf numFmtId="0" fontId="62" fillId="2" borderId="10" xfId="0" applyFont="1" applyFill="1" applyBorder="1" applyAlignment="1">
      <alignment horizontal="center" vertical="center"/>
    </xf>
    <xf numFmtId="0" fontId="62" fillId="2" borderId="9" xfId="0" applyFont="1" applyFill="1" applyBorder="1" applyAlignment="1">
      <alignment horizontal="center" vertical="center"/>
    </xf>
    <xf numFmtId="0" fontId="62" fillId="2" borderId="8" xfId="0" applyFont="1" applyFill="1" applyBorder="1" applyAlignment="1">
      <alignment horizontal="center" vertical="center"/>
    </xf>
    <xf numFmtId="0" fontId="68" fillId="2" borderId="1" xfId="5" applyFont="1" applyFill="1" applyBorder="1" applyAlignment="1">
      <alignment horizontal="center" vertical="center" wrapText="1"/>
    </xf>
    <xf numFmtId="0" fontId="68" fillId="2" borderId="10" xfId="5" applyFont="1" applyFill="1" applyBorder="1" applyAlignment="1">
      <alignment horizontal="center" vertical="center" wrapText="1"/>
    </xf>
    <xf numFmtId="0" fontId="68" fillId="2" borderId="8" xfId="5" applyFont="1" applyFill="1" applyBorder="1" applyAlignment="1">
      <alignment horizontal="center" vertical="center" wrapText="1"/>
    </xf>
    <xf numFmtId="0" fontId="102" fillId="2" borderId="3" xfId="5" applyFont="1" applyFill="1" applyBorder="1" applyAlignment="1">
      <alignment horizontal="center" vertical="center" wrapText="1"/>
    </xf>
    <xf numFmtId="0" fontId="102" fillId="2" borderId="16" xfId="5" applyFont="1" applyFill="1" applyBorder="1" applyAlignment="1">
      <alignment horizontal="center" vertical="center" wrapText="1"/>
    </xf>
    <xf numFmtId="0" fontId="102" fillId="2" borderId="38" xfId="5" applyFont="1" applyFill="1" applyBorder="1" applyAlignment="1">
      <alignment horizontal="center" vertical="center" wrapText="1"/>
    </xf>
    <xf numFmtId="0" fontId="102" fillId="2" borderId="39" xfId="5" applyFont="1" applyFill="1" applyBorder="1" applyAlignment="1">
      <alignment horizontal="center" vertical="center" wrapText="1"/>
    </xf>
    <xf numFmtId="0" fontId="81" fillId="2" borderId="0" xfId="0" applyFont="1" applyFill="1" applyBorder="1" applyAlignment="1">
      <alignment horizontal="center" vertical="center" wrapText="1"/>
    </xf>
    <xf numFmtId="0" fontId="94" fillId="2" borderId="11" xfId="0" applyFont="1" applyFill="1" applyBorder="1" applyAlignment="1">
      <alignment horizontal="center" vertical="center"/>
    </xf>
    <xf numFmtId="0" fontId="94" fillId="2" borderId="12" xfId="0" applyFont="1" applyFill="1" applyBorder="1" applyAlignment="1">
      <alignment horizontal="center" vertical="center"/>
    </xf>
    <xf numFmtId="0" fontId="68" fillId="0" borderId="10" xfId="0" applyFont="1" applyBorder="1" applyAlignment="1">
      <alignment horizontal="center" vertical="center" wrapText="1"/>
    </xf>
    <xf numFmtId="0" fontId="68" fillId="0" borderId="9" xfId="0" applyFont="1" applyBorder="1" applyAlignment="1">
      <alignment horizontal="center" vertical="center" wrapText="1"/>
    </xf>
    <xf numFmtId="0" fontId="68" fillId="0" borderId="8" xfId="0" applyFont="1" applyBorder="1" applyAlignment="1">
      <alignment horizontal="center" vertical="center" wrapText="1"/>
    </xf>
    <xf numFmtId="0" fontId="68" fillId="2" borderId="7" xfId="0" applyFont="1" applyFill="1" applyBorder="1" applyAlignment="1">
      <alignment horizontal="center" vertical="center" wrapText="1"/>
    </xf>
    <xf numFmtId="0" fontId="68" fillId="2" borderId="11" xfId="0" applyFont="1" applyFill="1" applyBorder="1" applyAlignment="1">
      <alignment horizontal="center" vertical="center" wrapText="1"/>
    </xf>
    <xf numFmtId="0" fontId="68" fillId="2" borderId="12" xfId="0" applyFont="1" applyFill="1" applyBorder="1" applyAlignment="1">
      <alignment horizontal="center" vertical="center" wrapText="1"/>
    </xf>
    <xf numFmtId="0" fontId="62" fillId="2" borderId="7" xfId="5" applyFont="1" applyFill="1" applyBorder="1" applyAlignment="1">
      <alignment horizontal="center" vertical="center" wrapText="1"/>
    </xf>
    <xf numFmtId="0" fontId="62" fillId="2" borderId="11" xfId="5" applyFont="1" applyFill="1" applyBorder="1" applyAlignment="1">
      <alignment horizontal="center" vertical="center" wrapText="1"/>
    </xf>
    <xf numFmtId="0" fontId="62" fillId="2" borderId="12" xfId="5" applyFont="1" applyFill="1" applyBorder="1" applyAlignment="1">
      <alignment horizontal="center" vertical="center" wrapText="1"/>
    </xf>
    <xf numFmtId="0" fontId="54" fillId="2" borderId="1" xfId="0" applyFont="1" applyFill="1" applyBorder="1" applyAlignment="1">
      <alignment horizontal="center" vertical="center" wrapText="1"/>
    </xf>
    <xf numFmtId="0" fontId="62" fillId="2" borderId="10" xfId="0" applyFont="1" applyFill="1" applyBorder="1" applyAlignment="1">
      <alignment horizontal="center" vertical="center" wrapText="1"/>
    </xf>
    <xf numFmtId="0" fontId="62" fillId="2" borderId="8" xfId="0" applyFont="1" applyFill="1" applyBorder="1" applyAlignment="1">
      <alignment horizontal="center" vertical="center" wrapText="1"/>
    </xf>
    <xf numFmtId="0" fontId="102" fillId="2" borderId="7" xfId="0" applyFont="1" applyFill="1" applyBorder="1" applyAlignment="1">
      <alignment horizontal="center" vertical="center"/>
    </xf>
    <xf numFmtId="0" fontId="102" fillId="2" borderId="12" xfId="0" applyFont="1" applyFill="1" applyBorder="1" applyAlignment="1">
      <alignment horizontal="center" vertical="center"/>
    </xf>
    <xf numFmtId="0" fontId="81" fillId="2" borderId="7" xfId="0" applyFont="1" applyFill="1" applyBorder="1" applyAlignment="1">
      <alignment horizontal="center" vertical="center" wrapText="1"/>
    </xf>
    <xf numFmtId="0" fontId="77" fillId="2" borderId="0" xfId="0" applyFont="1" applyFill="1" applyBorder="1" applyAlignment="1">
      <alignment horizontal="center" vertical="center" wrapText="1"/>
    </xf>
    <xf numFmtId="0" fontId="102" fillId="2" borderId="7" xfId="5" applyFont="1" applyFill="1" applyBorder="1" applyAlignment="1">
      <alignment horizontal="center" vertical="center" wrapText="1"/>
    </xf>
    <xf numFmtId="0" fontId="102" fillId="2" borderId="12" xfId="5" applyFont="1" applyFill="1" applyBorder="1" applyAlignment="1">
      <alignment horizontal="center" vertical="center" wrapText="1"/>
    </xf>
    <xf numFmtId="0" fontId="77" fillId="2" borderId="0" xfId="5" applyFont="1" applyFill="1" applyAlignment="1">
      <alignment horizontal="center" vertical="center" wrapText="1"/>
    </xf>
    <xf numFmtId="0" fontId="77" fillId="2" borderId="0" xfId="5" applyFont="1" applyFill="1" applyBorder="1" applyAlignment="1">
      <alignment horizontal="center" vertical="center" wrapText="1"/>
    </xf>
    <xf numFmtId="0" fontId="90" fillId="2" borderId="0" xfId="0" applyFont="1" applyFill="1" applyAlignment="1">
      <alignment horizontal="center" vertical="center"/>
    </xf>
    <xf numFmtId="0" fontId="77" fillId="2" borderId="0" xfId="0" applyFont="1" applyFill="1" applyAlignment="1">
      <alignment horizontal="center" vertical="center"/>
    </xf>
    <xf numFmtId="0" fontId="62" fillId="2" borderId="0" xfId="0" applyFont="1" applyFill="1" applyAlignment="1">
      <alignment horizontal="center"/>
    </xf>
    <xf numFmtId="0" fontId="92" fillId="2" borderId="0" xfId="0" applyFont="1" applyFill="1" applyBorder="1" applyAlignment="1">
      <alignment horizontal="center" vertical="center" wrapText="1"/>
    </xf>
    <xf numFmtId="0" fontId="102" fillId="2" borderId="1" xfId="5" applyFont="1" applyFill="1" applyBorder="1" applyAlignment="1">
      <alignment horizontal="center" vertical="center" wrapText="1"/>
    </xf>
    <xf numFmtId="0" fontId="93" fillId="5" borderId="0" xfId="0" applyFont="1" applyFill="1" applyAlignment="1">
      <alignment horizontal="center" vertical="center" wrapText="1"/>
    </xf>
    <xf numFmtId="0" fontId="68" fillId="2" borderId="7" xfId="0" applyFont="1" applyFill="1" applyBorder="1" applyAlignment="1">
      <alignment horizontal="center" vertical="center"/>
    </xf>
    <xf numFmtId="0" fontId="68" fillId="2" borderId="11" xfId="0" applyFont="1" applyFill="1" applyBorder="1" applyAlignment="1">
      <alignment horizontal="center" vertical="center"/>
    </xf>
    <xf numFmtId="0" fontId="68" fillId="2" borderId="12" xfId="0" applyFont="1" applyFill="1" applyBorder="1" applyAlignment="1">
      <alignment horizontal="center" vertical="center"/>
    </xf>
    <xf numFmtId="0" fontId="76" fillId="2" borderId="0" xfId="5" applyFont="1" applyFill="1" applyAlignment="1">
      <alignment horizontal="center" wrapText="1"/>
    </xf>
    <xf numFmtId="0" fontId="63" fillId="2" borderId="1" xfId="5" applyFont="1" applyFill="1" applyBorder="1" applyAlignment="1">
      <alignment horizontal="center" vertical="center" wrapText="1"/>
    </xf>
    <xf numFmtId="0" fontId="63" fillId="2" borderId="10" xfId="5" applyFont="1" applyFill="1" applyBorder="1" applyAlignment="1">
      <alignment horizontal="center" vertical="center" wrapText="1"/>
    </xf>
    <xf numFmtId="0" fontId="63" fillId="2" borderId="8" xfId="5" applyFont="1" applyFill="1" applyBorder="1" applyAlignment="1">
      <alignment horizontal="center" vertical="center" wrapText="1"/>
    </xf>
    <xf numFmtId="0" fontId="63" fillId="2" borderId="7" xfId="5" applyFont="1" applyFill="1" applyBorder="1" applyAlignment="1">
      <alignment horizontal="center" vertical="center" wrapText="1"/>
    </xf>
    <xf numFmtId="0" fontId="63" fillId="2" borderId="11" xfId="5" applyFont="1" applyFill="1" applyBorder="1" applyAlignment="1">
      <alignment horizontal="center" vertical="center" wrapText="1"/>
    </xf>
    <xf numFmtId="0" fontId="63" fillId="2" borderId="12" xfId="5" applyFont="1" applyFill="1" applyBorder="1" applyAlignment="1">
      <alignment horizontal="center" vertical="center" wrapText="1"/>
    </xf>
    <xf numFmtId="0" fontId="81" fillId="0" borderId="1" xfId="0" applyFont="1" applyBorder="1" applyAlignment="1">
      <alignment horizontal="center" vertical="center" wrapText="1"/>
    </xf>
    <xf numFmtId="0" fontId="76" fillId="2" borderId="0" xfId="5" applyFont="1" applyFill="1" applyAlignment="1">
      <alignment horizontal="center" vertical="center" wrapText="1"/>
    </xf>
    <xf numFmtId="0" fontId="50" fillId="2" borderId="0" xfId="5" applyFont="1" applyFill="1" applyBorder="1" applyAlignment="1">
      <alignment horizontal="center" vertical="center" wrapText="1"/>
    </xf>
    <xf numFmtId="49" fontId="81" fillId="0" borderId="1" xfId="0" applyNumberFormat="1" applyFont="1" applyBorder="1" applyAlignment="1">
      <alignment horizontal="center" vertical="center" wrapText="1"/>
    </xf>
    <xf numFmtId="0" fontId="63" fillId="0" borderId="7" xfId="5" applyFont="1" applyFill="1" applyBorder="1" applyAlignment="1">
      <alignment horizontal="left" vertical="center" wrapText="1"/>
    </xf>
    <xf numFmtId="0" fontId="63" fillId="0" borderId="11" xfId="5" applyFont="1" applyFill="1" applyBorder="1" applyAlignment="1">
      <alignment horizontal="left" vertical="center" wrapText="1"/>
    </xf>
    <xf numFmtId="0" fontId="63" fillId="0" borderId="12" xfId="5" applyFont="1" applyFill="1" applyBorder="1" applyAlignment="1">
      <alignment horizontal="left" vertical="center" wrapText="1"/>
    </xf>
    <xf numFmtId="0" fontId="75" fillId="0" borderId="0" xfId="5" applyFont="1" applyFill="1" applyAlignment="1">
      <alignment horizontal="center" wrapText="1"/>
    </xf>
    <xf numFmtId="0" fontId="73" fillId="0" borderId="4" xfId="5" applyFont="1" applyFill="1" applyBorder="1" applyAlignment="1">
      <alignment horizontal="center" vertical="center"/>
    </xf>
    <xf numFmtId="0" fontId="62" fillId="0" borderId="10" xfId="5" applyFont="1" applyFill="1" applyBorder="1" applyAlignment="1">
      <alignment horizontal="center" vertical="center" wrapText="1"/>
    </xf>
    <xf numFmtId="0" fontId="62" fillId="0" borderId="9" xfId="5" applyFont="1" applyFill="1" applyBorder="1" applyAlignment="1">
      <alignment horizontal="center" vertical="center" wrapText="1"/>
    </xf>
    <xf numFmtId="0" fontId="62" fillId="0" borderId="7" xfId="5" applyFont="1" applyFill="1" applyBorder="1" applyAlignment="1">
      <alignment horizontal="center" vertical="center" wrapText="1"/>
    </xf>
    <xf numFmtId="0" fontId="62" fillId="0" borderId="11" xfId="5" applyFont="1" applyFill="1" applyBorder="1" applyAlignment="1">
      <alignment horizontal="center" vertical="center" wrapText="1"/>
    </xf>
    <xf numFmtId="0" fontId="62" fillId="0" borderId="12" xfId="5" applyFont="1" applyFill="1" applyBorder="1" applyAlignment="1">
      <alignment horizontal="center" vertical="center" wrapText="1"/>
    </xf>
    <xf numFmtId="0" fontId="62" fillId="2" borderId="0" xfId="5" applyFont="1" applyFill="1" applyBorder="1" applyAlignment="1">
      <alignment horizontal="center" wrapText="1"/>
    </xf>
    <xf numFmtId="0" fontId="0" fillId="0" borderId="0" xfId="0" applyAlignment="1">
      <alignment wrapText="1"/>
    </xf>
    <xf numFmtId="0" fontId="62" fillId="2" borderId="0" xfId="5" applyFont="1" applyFill="1" applyBorder="1" applyAlignment="1">
      <alignment horizontal="center" vertical="top" wrapText="1"/>
    </xf>
    <xf numFmtId="0" fontId="0" fillId="0" borderId="0" xfId="0" applyAlignment="1">
      <alignment vertical="top" wrapText="1"/>
    </xf>
    <xf numFmtId="0" fontId="47" fillId="2" borderId="7" xfId="5" applyFont="1" applyFill="1" applyBorder="1" applyAlignment="1">
      <alignment horizontal="center" vertical="center" wrapText="1"/>
    </xf>
    <xf numFmtId="0" fontId="47" fillId="2" borderId="11" xfId="5" applyFont="1" applyFill="1" applyBorder="1" applyAlignment="1">
      <alignment horizontal="center" vertical="center" wrapText="1"/>
    </xf>
    <xf numFmtId="0" fontId="47" fillId="2" borderId="12" xfId="5" applyFont="1" applyFill="1" applyBorder="1" applyAlignment="1">
      <alignment horizontal="center" vertical="center" wrapText="1"/>
    </xf>
    <xf numFmtId="0" fontId="62" fillId="2" borderId="4" xfId="5" applyFont="1" applyFill="1" applyBorder="1" applyAlignment="1">
      <alignment horizontal="center"/>
    </xf>
    <xf numFmtId="0" fontId="50" fillId="2" borderId="7" xfId="5" applyFont="1" applyFill="1" applyBorder="1" applyAlignment="1">
      <alignment horizontal="center" vertical="center" wrapText="1"/>
    </xf>
    <xf numFmtId="0" fontId="50" fillId="2" borderId="11" xfId="5" applyFont="1" applyFill="1" applyBorder="1" applyAlignment="1">
      <alignment horizontal="center" vertical="center" wrapText="1"/>
    </xf>
    <xf numFmtId="0" fontId="50" fillId="2" borderId="12" xfId="5" applyFont="1" applyFill="1" applyBorder="1" applyAlignment="1">
      <alignment horizontal="center" vertical="center" wrapText="1"/>
    </xf>
    <xf numFmtId="0" fontId="49" fillId="7" borderId="7" xfId="5" applyFont="1" applyFill="1" applyBorder="1" applyAlignment="1">
      <alignment horizontal="center" vertical="center" wrapText="1"/>
    </xf>
    <xf numFmtId="0" fontId="49" fillId="7" borderId="11" xfId="5" applyFont="1" applyFill="1" applyBorder="1" applyAlignment="1">
      <alignment horizontal="center" vertical="center" wrapText="1"/>
    </xf>
    <xf numFmtId="0" fontId="49" fillId="7" borderId="12" xfId="5" applyFont="1" applyFill="1" applyBorder="1" applyAlignment="1">
      <alignment horizontal="center" vertical="center" wrapText="1"/>
    </xf>
    <xf numFmtId="0" fontId="49" fillId="7" borderId="3" xfId="5" applyFont="1" applyFill="1" applyBorder="1" applyAlignment="1">
      <alignment horizontal="center" vertical="center" wrapText="1"/>
    </xf>
    <xf numFmtId="0" fontId="49" fillId="7" borderId="2" xfId="5" applyFont="1" applyFill="1" applyBorder="1" applyAlignment="1">
      <alignment horizontal="center" vertical="center" wrapText="1"/>
    </xf>
    <xf numFmtId="0" fontId="49" fillId="7" borderId="16" xfId="5" applyFont="1" applyFill="1" applyBorder="1" applyAlignment="1">
      <alignment horizontal="center" vertical="center" wrapText="1"/>
    </xf>
    <xf numFmtId="0" fontId="49" fillId="7" borderId="3" xfId="5" applyFont="1" applyFill="1" applyBorder="1" applyAlignment="1">
      <alignment horizontal="center" vertical="center"/>
    </xf>
    <xf numFmtId="0" fontId="49" fillId="7" borderId="2" xfId="5" applyFont="1" applyFill="1" applyBorder="1" applyAlignment="1">
      <alignment horizontal="center" vertical="center"/>
    </xf>
    <xf numFmtId="0" fontId="49" fillId="7" borderId="16" xfId="5" applyFont="1" applyFill="1" applyBorder="1" applyAlignment="1">
      <alignment horizontal="center" vertical="center"/>
    </xf>
    <xf numFmtId="0" fontId="92" fillId="0" borderId="0" xfId="5" applyFont="1" applyFill="1" applyBorder="1" applyAlignment="1">
      <alignment horizontal="center" vertical="center" wrapText="1"/>
    </xf>
    <xf numFmtId="0" fontId="50" fillId="0" borderId="1" xfId="5" applyFont="1" applyFill="1" applyBorder="1" applyAlignment="1">
      <alignment horizontal="center" vertical="center" wrapText="1"/>
    </xf>
    <xf numFmtId="49" fontId="50" fillId="0" borderId="1" xfId="5" applyNumberFormat="1" applyFont="1" applyFill="1" applyBorder="1" applyAlignment="1">
      <alignment horizontal="center" vertical="center" wrapText="1"/>
    </xf>
    <xf numFmtId="0" fontId="50" fillId="0" borderId="7" xfId="5" applyFont="1" applyFill="1" applyBorder="1" applyAlignment="1">
      <alignment horizontal="center" vertical="center" wrapText="1"/>
    </xf>
    <xf numFmtId="0" fontId="50" fillId="0" borderId="11" xfId="5" applyFont="1" applyFill="1" applyBorder="1" applyAlignment="1">
      <alignment horizontal="center" vertical="center" wrapText="1"/>
    </xf>
    <xf numFmtId="0" fontId="50" fillId="0" borderId="12" xfId="5" applyFont="1" applyFill="1" applyBorder="1" applyAlignment="1">
      <alignment horizontal="center" vertical="center" wrapText="1"/>
    </xf>
    <xf numFmtId="14" fontId="73" fillId="0" borderId="0" xfId="0" applyNumberFormat="1" applyFont="1" applyAlignment="1">
      <alignment horizontal="left" vertical="center" wrapText="1"/>
    </xf>
    <xf numFmtId="0" fontId="73" fillId="0" borderId="0" xfId="0" applyFont="1" applyAlignment="1">
      <alignment horizontal="left" vertical="center"/>
    </xf>
    <xf numFmtId="0" fontId="28" fillId="0" borderId="0" xfId="0" applyFont="1" applyAlignment="1">
      <alignment horizontal="left" vertical="center" wrapText="1"/>
    </xf>
    <xf numFmtId="0" fontId="98" fillId="0" borderId="0" xfId="0" applyFont="1" applyAlignment="1">
      <alignment horizontal="left" vertical="center"/>
    </xf>
    <xf numFmtId="0" fontId="28" fillId="0" borderId="1" xfId="0" applyFont="1" applyFill="1" applyBorder="1" applyAlignment="1">
      <alignment horizontal="center" vertical="center"/>
    </xf>
    <xf numFmtId="0" fontId="28" fillId="0" borderId="1" xfId="0" applyFont="1" applyFill="1" applyBorder="1" applyAlignment="1">
      <alignment horizontal="center" vertical="center" wrapText="1"/>
    </xf>
    <xf numFmtId="4" fontId="28" fillId="0" borderId="1" xfId="0" applyNumberFormat="1" applyFont="1" applyFill="1" applyBorder="1" applyAlignment="1">
      <alignment horizontal="center" vertical="center" wrapText="1"/>
    </xf>
    <xf numFmtId="4" fontId="29" fillId="5" borderId="10" xfId="0" applyNumberFormat="1" applyFont="1" applyFill="1" applyBorder="1" applyAlignment="1">
      <alignment horizontal="right" vertical="center"/>
    </xf>
    <xf numFmtId="4" fontId="29" fillId="5" borderId="8" xfId="0" applyNumberFormat="1" applyFont="1" applyFill="1" applyBorder="1" applyAlignment="1">
      <alignment horizontal="right" vertical="center"/>
    </xf>
    <xf numFmtId="4" fontId="29" fillId="5" borderId="10" xfId="0" applyNumberFormat="1" applyFont="1" applyFill="1" applyBorder="1" applyAlignment="1">
      <alignment horizontal="center" vertical="center"/>
    </xf>
    <xf numFmtId="4" fontId="29" fillId="5" borderId="8" xfId="0" applyNumberFormat="1" applyFont="1" applyFill="1" applyBorder="1" applyAlignment="1">
      <alignment horizontal="center" vertical="center"/>
    </xf>
    <xf numFmtId="0" fontId="29" fillId="5" borderId="15" xfId="0" applyFont="1" applyFill="1" applyBorder="1" applyAlignment="1">
      <alignment horizontal="left" vertical="center" wrapText="1"/>
    </xf>
    <xf numFmtId="0" fontId="29" fillId="5" borderId="4" xfId="0" applyFont="1" applyFill="1" applyBorder="1" applyAlignment="1">
      <alignment horizontal="left" vertical="center" wrapText="1"/>
    </xf>
    <xf numFmtId="0" fontId="29" fillId="5" borderId="7" xfId="0" applyFont="1" applyFill="1" applyBorder="1" applyAlignment="1">
      <alignment horizontal="left" vertical="center" wrapText="1"/>
    </xf>
    <xf numFmtId="0" fontId="29" fillId="5" borderId="11" xfId="0" applyFont="1" applyFill="1" applyBorder="1" applyAlignment="1">
      <alignment horizontal="left" vertical="center" wrapText="1"/>
    </xf>
    <xf numFmtId="4" fontId="28" fillId="0" borderId="28" xfId="0" applyNumberFormat="1" applyFont="1" applyFill="1" applyBorder="1" applyAlignment="1">
      <alignment horizontal="center" vertical="center" wrapText="1"/>
    </xf>
    <xf numFmtId="4" fontId="28" fillId="0" borderId="9" xfId="0" applyNumberFormat="1" applyFont="1" applyFill="1" applyBorder="1" applyAlignment="1">
      <alignment horizontal="center" vertical="center" wrapText="1"/>
    </xf>
    <xf numFmtId="4" fontId="28" fillId="0" borderId="8" xfId="0" applyNumberFormat="1" applyFont="1" applyFill="1" applyBorder="1" applyAlignment="1">
      <alignment horizontal="center" vertical="center" wrapText="1"/>
    </xf>
    <xf numFmtId="4" fontId="28" fillId="0" borderId="44" xfId="0" applyNumberFormat="1" applyFont="1" applyFill="1" applyBorder="1" applyAlignment="1">
      <alignment horizontal="center" vertical="top" wrapText="1"/>
    </xf>
    <xf numFmtId="4" fontId="28" fillId="0" borderId="37" xfId="0" applyNumberFormat="1" applyFont="1" applyFill="1" applyBorder="1" applyAlignment="1">
      <alignment horizontal="center" vertical="top" wrapText="1"/>
    </xf>
    <xf numFmtId="4" fontId="28" fillId="0" borderId="38" xfId="0" applyNumberFormat="1" applyFont="1" applyFill="1" applyBorder="1" applyAlignment="1">
      <alignment horizontal="center" vertical="top" wrapText="1"/>
    </xf>
    <xf numFmtId="4" fontId="28" fillId="0" borderId="0" xfId="0" applyNumberFormat="1" applyFont="1" applyFill="1" applyBorder="1" applyAlignment="1">
      <alignment horizontal="center" vertical="top" wrapText="1"/>
    </xf>
    <xf numFmtId="4" fontId="28" fillId="0" borderId="28" xfId="0" applyNumberFormat="1" applyFont="1" applyFill="1" applyBorder="1" applyAlignment="1">
      <alignment horizontal="left" vertical="top" wrapText="1"/>
    </xf>
    <xf numFmtId="4" fontId="28" fillId="0" borderId="1" xfId="0" applyNumberFormat="1" applyFont="1" applyFill="1" applyBorder="1" applyAlignment="1">
      <alignment horizontal="left" vertical="top" wrapText="1"/>
    </xf>
    <xf numFmtId="4" fontId="28" fillId="0" borderId="28" xfId="0" applyNumberFormat="1" applyFont="1" applyFill="1" applyBorder="1" applyAlignment="1">
      <alignment horizontal="left" vertical="center" wrapText="1"/>
    </xf>
    <xf numFmtId="4" fontId="28" fillId="0" borderId="1" xfId="0" applyNumberFormat="1" applyFont="1" applyFill="1" applyBorder="1" applyAlignment="1">
      <alignment horizontal="left" vertical="center" wrapText="1"/>
    </xf>
    <xf numFmtId="4" fontId="28" fillId="0" borderId="45" xfId="0" applyNumberFormat="1" applyFont="1" applyFill="1" applyBorder="1" applyAlignment="1">
      <alignment horizontal="center" vertical="center" wrapText="1"/>
    </xf>
    <xf numFmtId="4" fontId="28" fillId="0" borderId="47" xfId="0" applyNumberFormat="1" applyFont="1" applyFill="1" applyBorder="1" applyAlignment="1">
      <alignment horizontal="left" vertical="top" wrapText="1"/>
    </xf>
    <xf numFmtId="4" fontId="28" fillId="0" borderId="36" xfId="0" applyNumberFormat="1" applyFont="1" applyFill="1" applyBorder="1" applyAlignment="1">
      <alignment horizontal="left" vertical="top" wrapText="1"/>
    </xf>
    <xf numFmtId="0" fontId="29" fillId="5" borderId="10" xfId="0" applyFont="1" applyFill="1" applyBorder="1" applyAlignment="1">
      <alignment horizontal="left" vertical="center" wrapText="1"/>
    </xf>
    <xf numFmtId="0" fontId="29" fillId="5" borderId="3" xfId="0" applyFont="1" applyFill="1" applyBorder="1" applyAlignment="1">
      <alignment horizontal="left" vertical="center" wrapText="1"/>
    </xf>
    <xf numFmtId="4" fontId="28" fillId="0" borderId="3" xfId="0" applyNumberFormat="1" applyFont="1" applyFill="1" applyBorder="1" applyAlignment="1">
      <alignment horizontal="center" vertical="top" wrapText="1"/>
    </xf>
    <xf numFmtId="4" fontId="28" fillId="0" borderId="2" xfId="0" applyNumberFormat="1" applyFont="1" applyFill="1" applyBorder="1" applyAlignment="1">
      <alignment horizontal="center" vertical="top" wrapText="1"/>
    </xf>
    <xf numFmtId="4" fontId="28" fillId="0" borderId="54" xfId="0" applyNumberFormat="1" applyFont="1" applyFill="1" applyBorder="1" applyAlignment="1">
      <alignment horizontal="center" vertical="top" wrapText="1"/>
    </xf>
    <xf numFmtId="4" fontId="28" fillId="0" borderId="55" xfId="0" applyNumberFormat="1" applyFont="1" applyFill="1" applyBorder="1" applyAlignment="1">
      <alignment horizontal="center" vertical="top" wrapText="1"/>
    </xf>
    <xf numFmtId="4" fontId="0" fillId="0" borderId="10" xfId="0" applyNumberFormat="1" applyFill="1" applyBorder="1" applyAlignment="1">
      <alignment horizontal="center" vertical="center" wrapText="1"/>
    </xf>
    <xf numFmtId="4" fontId="0" fillId="0" borderId="9" xfId="0" applyNumberFormat="1" applyFill="1" applyBorder="1" applyAlignment="1">
      <alignment horizontal="center" vertical="center" wrapText="1"/>
    </xf>
    <xf numFmtId="4" fontId="0" fillId="0" borderId="8" xfId="0" applyNumberFormat="1" applyFill="1" applyBorder="1" applyAlignment="1">
      <alignment horizontal="center" vertical="center" wrapText="1"/>
    </xf>
    <xf numFmtId="4" fontId="100" fillId="0" borderId="8" xfId="0" applyNumberFormat="1" applyFont="1" applyFill="1" applyBorder="1" applyAlignment="1">
      <alignment horizontal="center" vertical="center" wrapText="1"/>
    </xf>
    <xf numFmtId="4" fontId="100" fillId="0" borderId="1" xfId="0" applyNumberFormat="1" applyFont="1" applyFill="1" applyBorder="1" applyAlignment="1">
      <alignment horizontal="center" vertical="center" wrapText="1"/>
    </xf>
    <xf numFmtId="4" fontId="0" fillId="0" borderId="3" xfId="0" applyNumberFormat="1" applyFill="1" applyBorder="1" applyAlignment="1">
      <alignment horizontal="center" vertical="center" wrapText="1"/>
    </xf>
    <xf numFmtId="4" fontId="0" fillId="0" borderId="38" xfId="0" applyNumberFormat="1" applyFill="1" applyBorder="1" applyAlignment="1">
      <alignment horizontal="center" vertical="center" wrapText="1"/>
    </xf>
    <xf numFmtId="4" fontId="0" fillId="0" borderId="15" xfId="0" applyNumberFormat="1" applyFill="1" applyBorder="1" applyAlignment="1">
      <alignment horizontal="center" vertical="center" wrapText="1"/>
    </xf>
    <xf numFmtId="4" fontId="0" fillId="0" borderId="16" xfId="0" applyNumberFormat="1" applyFill="1" applyBorder="1" applyAlignment="1">
      <alignment horizontal="center" vertical="center" wrapText="1"/>
    </xf>
    <xf numFmtId="4" fontId="0" fillId="0" borderId="39" xfId="0" applyNumberFormat="1" applyFill="1" applyBorder="1" applyAlignment="1">
      <alignment horizontal="center" vertical="center" wrapText="1"/>
    </xf>
    <xf numFmtId="4" fontId="0" fillId="0" borderId="14" xfId="0" applyNumberFormat="1" applyFill="1" applyBorder="1" applyAlignment="1">
      <alignment horizontal="center" vertical="center" wrapText="1"/>
    </xf>
    <xf numFmtId="4" fontId="29" fillId="0" borderId="3" xfId="15" applyNumberFormat="1" applyFont="1" applyFill="1" applyBorder="1" applyAlignment="1">
      <alignment horizontal="center" vertical="center" wrapText="1"/>
    </xf>
    <xf numFmtId="4" fontId="29" fillId="0" borderId="2" xfId="15" applyNumberFormat="1" applyFont="1" applyFill="1" applyBorder="1" applyAlignment="1">
      <alignment horizontal="center" vertical="center" wrapText="1"/>
    </xf>
    <xf numFmtId="4" fontId="29" fillId="0" borderId="16" xfId="15" applyNumberFormat="1" applyFont="1" applyFill="1" applyBorder="1" applyAlignment="1">
      <alignment horizontal="center" vertical="center" wrapText="1"/>
    </xf>
    <xf numFmtId="4" fontId="28" fillId="0" borderId="7" xfId="15" applyNumberFormat="1" applyFont="1" applyFill="1" applyBorder="1" applyAlignment="1">
      <alignment horizontal="center" vertical="center" wrapText="1"/>
    </xf>
    <xf numFmtId="4" fontId="28" fillId="0" borderId="11" xfId="15" applyNumberFormat="1" applyFont="1" applyFill="1" applyBorder="1" applyAlignment="1">
      <alignment horizontal="center" vertical="center" wrapText="1"/>
    </xf>
    <xf numFmtId="4" fontId="28" fillId="0" borderId="12" xfId="15" applyNumberFormat="1" applyFont="1" applyFill="1" applyBorder="1" applyAlignment="1">
      <alignment horizontal="center" vertical="center" wrapText="1"/>
    </xf>
    <xf numFmtId="4" fontId="100" fillId="0" borderId="38" xfId="15" applyNumberFormat="1" applyFont="1" applyFill="1" applyBorder="1" applyAlignment="1">
      <alignment horizontal="center" vertical="center" wrapText="1"/>
    </xf>
    <xf numFmtId="4" fontId="100" fillId="0" borderId="0" xfId="15" applyNumberFormat="1" applyFont="1" applyFill="1" applyBorder="1" applyAlignment="1">
      <alignment horizontal="center" vertical="center" wrapText="1"/>
    </xf>
    <xf numFmtId="4" fontId="100" fillId="0" borderId="39" xfId="15" applyNumberFormat="1" applyFont="1" applyFill="1" applyBorder="1" applyAlignment="1">
      <alignment horizontal="center" vertical="center" wrapText="1"/>
    </xf>
    <xf numFmtId="4" fontId="28" fillId="0" borderId="43" xfId="0" applyNumberFormat="1" applyFont="1" applyFill="1" applyBorder="1" applyAlignment="1">
      <alignment horizontal="center" vertical="top" wrapText="1"/>
    </xf>
    <xf numFmtId="4" fontId="28" fillId="0" borderId="42" xfId="0" applyNumberFormat="1" applyFont="1" applyFill="1" applyBorder="1" applyAlignment="1">
      <alignment horizontal="center" vertical="top" wrapText="1"/>
    </xf>
    <xf numFmtId="4" fontId="28" fillId="0" borderId="30" xfId="0" applyNumberFormat="1" applyFont="1" applyFill="1" applyBorder="1" applyAlignment="1">
      <alignment horizontal="left" vertical="center" wrapText="1"/>
    </xf>
    <xf numFmtId="4" fontId="28" fillId="0" borderId="9" xfId="0" applyNumberFormat="1" applyFont="1" applyFill="1" applyBorder="1" applyAlignment="1">
      <alignment horizontal="left" vertical="center" wrapText="1"/>
    </xf>
    <xf numFmtId="4" fontId="28" fillId="0" borderId="45" xfId="0" applyNumberFormat="1" applyFont="1" applyFill="1" applyBorder="1" applyAlignment="1">
      <alignment horizontal="left" vertical="center" wrapText="1"/>
    </xf>
    <xf numFmtId="4" fontId="28" fillId="0" borderId="30" xfId="0" applyNumberFormat="1" applyFont="1" applyFill="1" applyBorder="1" applyAlignment="1">
      <alignment horizontal="center" vertical="top" wrapText="1"/>
    </xf>
    <xf numFmtId="4" fontId="28" fillId="0" borderId="9" xfId="0" applyNumberFormat="1" applyFont="1" applyFill="1" applyBorder="1" applyAlignment="1">
      <alignment horizontal="center" vertical="top" wrapText="1"/>
    </xf>
    <xf numFmtId="4" fontId="28" fillId="0" borderId="45" xfId="0" applyNumberFormat="1" applyFont="1" applyFill="1" applyBorder="1" applyAlignment="1">
      <alignment horizontal="center" vertical="top" wrapText="1"/>
    </xf>
    <xf numFmtId="4" fontId="28" fillId="0" borderId="30" xfId="0" applyNumberFormat="1" applyFont="1" applyFill="1" applyBorder="1" applyAlignment="1">
      <alignment horizontal="center" vertical="center" wrapText="1"/>
    </xf>
    <xf numFmtId="4" fontId="28" fillId="0" borderId="64" xfId="0" applyNumberFormat="1" applyFont="1" applyFill="1" applyBorder="1" applyAlignment="1">
      <alignment horizontal="center" vertical="top" wrapText="1"/>
    </xf>
    <xf numFmtId="4" fontId="28" fillId="0" borderId="65" xfId="0" applyNumberFormat="1" applyFont="1" applyFill="1" applyBorder="1" applyAlignment="1">
      <alignment horizontal="center" vertical="top" wrapText="1"/>
    </xf>
    <xf numFmtId="4" fontId="28" fillId="0" borderId="61" xfId="0" applyNumberFormat="1" applyFont="1" applyFill="1" applyBorder="1" applyAlignment="1">
      <alignment horizontal="center" vertical="top" wrapText="1"/>
    </xf>
    <xf numFmtId="4" fontId="28" fillId="0" borderId="44" xfId="0" applyNumberFormat="1" applyFont="1" applyFill="1" applyBorder="1" applyAlignment="1">
      <alignment horizontal="left" vertical="center" wrapText="1"/>
    </xf>
    <xf numFmtId="4" fontId="28" fillId="0" borderId="38" xfId="0" applyNumberFormat="1" applyFont="1" applyFill="1" applyBorder="1" applyAlignment="1">
      <alignment horizontal="left" vertical="center" wrapText="1"/>
    </xf>
    <xf numFmtId="0" fontId="97" fillId="0" borderId="0" xfId="0" applyFont="1" applyFill="1" applyAlignment="1">
      <alignment horizontal="center" vertical="center"/>
    </xf>
    <xf numFmtId="0" fontId="29" fillId="5" borderId="2" xfId="0" applyFont="1" applyFill="1" applyBorder="1" applyAlignment="1">
      <alignment horizontal="left" vertical="center" wrapText="1"/>
    </xf>
    <xf numFmtId="0" fontId="29" fillId="0" borderId="0" xfId="0" applyFont="1" applyAlignment="1">
      <alignment horizontal="left" vertical="top" wrapText="1"/>
    </xf>
    <xf numFmtId="0" fontId="28" fillId="0" borderId="0" xfId="0" applyFont="1" applyAlignment="1">
      <alignment horizontal="left" vertical="top" wrapText="1"/>
    </xf>
    <xf numFmtId="4" fontId="28" fillId="0" borderId="41" xfId="0" applyNumberFormat="1" applyFont="1" applyFill="1" applyBorder="1" applyAlignment="1">
      <alignment horizontal="center" wrapText="1"/>
    </xf>
    <xf numFmtId="4" fontId="28" fillId="0" borderId="63" xfId="0" applyNumberFormat="1" applyFont="1" applyFill="1" applyBorder="1" applyAlignment="1">
      <alignment horizontal="center" wrapText="1"/>
    </xf>
    <xf numFmtId="4" fontId="28" fillId="0" borderId="37" xfId="0" applyNumberFormat="1" applyFont="1" applyFill="1" applyBorder="1" applyAlignment="1">
      <alignment horizontal="center" wrapText="1"/>
    </xf>
    <xf numFmtId="0" fontId="28" fillId="0" borderId="0" xfId="0" applyFont="1" applyAlignment="1">
      <alignment horizontal="left" vertical="center"/>
    </xf>
    <xf numFmtId="4" fontId="28" fillId="0" borderId="0" xfId="0" applyNumberFormat="1" applyFont="1" applyAlignment="1">
      <alignment horizontal="left" vertical="center" wrapText="1"/>
    </xf>
    <xf numFmtId="0" fontId="29" fillId="11" borderId="7" xfId="0" applyFont="1" applyFill="1" applyBorder="1" applyAlignment="1">
      <alignment horizontal="left" vertical="center" wrapText="1"/>
    </xf>
    <xf numFmtId="0" fontId="29" fillId="11" borderId="11" xfId="0" applyFont="1" applyFill="1" applyBorder="1" applyAlignment="1">
      <alignment horizontal="left" vertical="center" wrapText="1"/>
    </xf>
    <xf numFmtId="0" fontId="29" fillId="11" borderId="12" xfId="0" applyFont="1" applyFill="1" applyBorder="1" applyAlignment="1">
      <alignment horizontal="left" vertical="center" wrapText="1"/>
    </xf>
    <xf numFmtId="0" fontId="98" fillId="0" borderId="0" xfId="0" applyFont="1" applyAlignment="1">
      <alignment horizontal="left" vertical="top" wrapText="1"/>
    </xf>
    <xf numFmtId="0" fontId="73" fillId="0" borderId="0" xfId="0" applyFont="1" applyAlignment="1">
      <alignment horizontal="left" vertical="top" wrapText="1"/>
    </xf>
    <xf numFmtId="4" fontId="28" fillId="0" borderId="30" xfId="0" applyNumberFormat="1" applyFont="1" applyFill="1" applyBorder="1" applyAlignment="1">
      <alignment horizontal="left" vertical="top" wrapText="1"/>
    </xf>
    <xf numFmtId="4" fontId="28" fillId="0" borderId="9" xfId="0" applyNumberFormat="1" applyFont="1" applyFill="1" applyBorder="1" applyAlignment="1">
      <alignment horizontal="left" vertical="top" wrapText="1"/>
    </xf>
    <xf numFmtId="4" fontId="28" fillId="0" borderId="45" xfId="0" applyNumberFormat="1" applyFont="1" applyFill="1" applyBorder="1" applyAlignment="1">
      <alignment horizontal="left" vertical="top" wrapText="1"/>
    </xf>
    <xf numFmtId="4" fontId="28" fillId="0" borderId="30" xfId="0" applyNumberFormat="1" applyFont="1" applyFill="1" applyBorder="1" applyAlignment="1">
      <alignment horizontal="center" vertical="center"/>
    </xf>
    <xf numFmtId="4" fontId="28" fillId="0" borderId="9" xfId="0" applyNumberFormat="1" applyFont="1" applyFill="1" applyBorder="1" applyAlignment="1">
      <alignment horizontal="center" vertical="center"/>
    </xf>
    <xf numFmtId="4" fontId="28" fillId="0" borderId="45" xfId="0" applyNumberFormat="1" applyFont="1" applyFill="1" applyBorder="1" applyAlignment="1">
      <alignment horizontal="center" vertical="center"/>
    </xf>
    <xf numFmtId="4" fontId="28" fillId="0" borderId="43" xfId="0" applyNumberFormat="1" applyFont="1" applyFill="1" applyBorder="1" applyAlignment="1">
      <alignment horizontal="center" vertical="center"/>
    </xf>
    <xf numFmtId="4" fontId="28" fillId="0" borderId="42" xfId="0" applyNumberFormat="1" applyFont="1" applyFill="1" applyBorder="1" applyAlignment="1">
      <alignment horizontal="center" vertical="center"/>
    </xf>
    <xf numFmtId="4" fontId="28" fillId="0" borderId="46" xfId="0" applyNumberFormat="1" applyFont="1" applyFill="1" applyBorder="1" applyAlignment="1">
      <alignment horizontal="center" vertical="center"/>
    </xf>
    <xf numFmtId="0" fontId="97" fillId="0" borderId="0" xfId="0" applyFont="1" applyAlignment="1">
      <alignment horizontal="center" vertical="center"/>
    </xf>
    <xf numFmtId="0" fontId="28" fillId="0" borderId="10"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8" fillId="0" borderId="8" xfId="0" applyFont="1" applyFill="1" applyBorder="1" applyAlignment="1">
      <alignment horizontal="center" vertical="center" wrapText="1"/>
    </xf>
    <xf numFmtId="4" fontId="28" fillId="2" borderId="1" xfId="0" applyNumberFormat="1" applyFont="1" applyFill="1" applyBorder="1" applyAlignment="1">
      <alignment horizontal="center" vertical="center" wrapText="1"/>
    </xf>
    <xf numFmtId="4" fontId="28" fillId="0" borderId="1" xfId="15" applyNumberFormat="1" applyFont="1" applyFill="1" applyBorder="1" applyAlignment="1">
      <alignment horizontal="center" vertical="center" wrapText="1"/>
    </xf>
    <xf numFmtId="4" fontId="29" fillId="0" borderId="7" xfId="15" applyNumberFormat="1" applyFont="1" applyFill="1" applyBorder="1" applyAlignment="1">
      <alignment horizontal="center" vertical="center" wrapText="1"/>
    </xf>
    <xf numFmtId="4" fontId="29" fillId="0" borderId="11" xfId="15" applyNumberFormat="1" applyFont="1" applyFill="1" applyBorder="1" applyAlignment="1">
      <alignment horizontal="center" vertical="center" wrapText="1"/>
    </xf>
    <xf numFmtId="4" fontId="29" fillId="0" borderId="12" xfId="15" applyNumberFormat="1" applyFont="1" applyFill="1" applyBorder="1" applyAlignment="1">
      <alignment horizontal="center" vertical="center" wrapText="1"/>
    </xf>
    <xf numFmtId="4" fontId="28" fillId="2" borderId="30" xfId="0" applyNumberFormat="1" applyFont="1" applyFill="1" applyBorder="1" applyAlignment="1">
      <alignment horizontal="center" vertical="center"/>
    </xf>
    <xf numFmtId="4" fontId="28" fillId="2" borderId="9" xfId="0" applyNumberFormat="1" applyFont="1" applyFill="1" applyBorder="1" applyAlignment="1">
      <alignment horizontal="center" vertical="center"/>
    </xf>
    <xf numFmtId="4" fontId="28" fillId="2" borderId="30" xfId="0" applyNumberFormat="1" applyFont="1" applyFill="1" applyBorder="1" applyAlignment="1">
      <alignment horizontal="center" vertical="top" wrapText="1"/>
    </xf>
    <xf numFmtId="4" fontId="28" fillId="2" borderId="45" xfId="0" applyNumberFormat="1" applyFont="1" applyFill="1" applyBorder="1" applyAlignment="1">
      <alignment horizontal="center" vertical="top" wrapText="1"/>
    </xf>
    <xf numFmtId="4" fontId="28" fillId="0" borderId="0" xfId="0" applyNumberFormat="1" applyFont="1" applyBorder="1" applyAlignment="1">
      <alignment horizontal="center" wrapText="1"/>
    </xf>
    <xf numFmtId="4" fontId="28" fillId="0" borderId="10" xfId="0" applyNumberFormat="1" applyFont="1" applyFill="1" applyBorder="1" applyAlignment="1">
      <alignment horizontal="center" vertical="center" wrapText="1"/>
    </xf>
    <xf numFmtId="4" fontId="28" fillId="0" borderId="8" xfId="0" applyNumberFormat="1" applyFont="1" applyFill="1" applyBorder="1" applyAlignment="1">
      <alignment horizontal="center" vertical="center"/>
    </xf>
    <xf numFmtId="4" fontId="28" fillId="0" borderId="10" xfId="0" applyNumberFormat="1" applyFont="1" applyFill="1" applyBorder="1" applyAlignment="1">
      <alignment horizontal="center" vertical="center"/>
    </xf>
    <xf numFmtId="4" fontId="28" fillId="0" borderId="2" xfId="0" applyNumberFormat="1" applyFont="1" applyBorder="1" applyAlignment="1">
      <alignment horizontal="center" wrapText="1"/>
    </xf>
    <xf numFmtId="4" fontId="28" fillId="2" borderId="43" xfId="0" applyNumberFormat="1" applyFont="1" applyFill="1" applyBorder="1" applyAlignment="1">
      <alignment horizontal="center" vertical="center"/>
    </xf>
    <xf numFmtId="4" fontId="28" fillId="2" borderId="42" xfId="0" applyNumberFormat="1" applyFont="1" applyFill="1" applyBorder="1" applyAlignment="1">
      <alignment horizontal="center" vertical="center"/>
    </xf>
    <xf numFmtId="0" fontId="29" fillId="11" borderId="8" xfId="0" applyFont="1" applyFill="1" applyBorder="1" applyAlignment="1">
      <alignment horizontal="left" vertical="center" wrapText="1"/>
    </xf>
    <xf numFmtId="0" fontId="29" fillId="11" borderId="9" xfId="0" applyFont="1" applyFill="1" applyBorder="1" applyAlignment="1">
      <alignment horizontal="left" vertical="center" wrapText="1"/>
    </xf>
    <xf numFmtId="0" fontId="29" fillId="11" borderId="15" xfId="0" applyFont="1" applyFill="1" applyBorder="1" applyAlignment="1">
      <alignment horizontal="left" vertical="center" wrapText="1"/>
    </xf>
    <xf numFmtId="0" fontId="29" fillId="11" borderId="4" xfId="0" applyFont="1" applyFill="1" applyBorder="1" applyAlignment="1">
      <alignment horizontal="left" vertical="center" wrapText="1"/>
    </xf>
    <xf numFmtId="0" fontId="29" fillId="11" borderId="14" xfId="0" applyFont="1" applyFill="1" applyBorder="1" applyAlignment="1">
      <alignment horizontal="left" vertical="center" wrapText="1"/>
    </xf>
    <xf numFmtId="4" fontId="28" fillId="2" borderId="30" xfId="0" applyNumberFormat="1" applyFont="1" applyFill="1" applyBorder="1" applyAlignment="1">
      <alignment horizontal="left" vertical="center" wrapText="1"/>
    </xf>
    <xf numFmtId="4" fontId="28" fillId="2" borderId="45" xfId="0" applyNumberFormat="1" applyFont="1" applyFill="1" applyBorder="1" applyAlignment="1">
      <alignment horizontal="left" vertical="center" wrapText="1"/>
    </xf>
    <xf numFmtId="0" fontId="75" fillId="0" borderId="0" xfId="0" applyFont="1" applyAlignment="1">
      <alignment horizontal="center" vertical="center"/>
    </xf>
    <xf numFmtId="0" fontId="29" fillId="3" borderId="15" xfId="0" applyFont="1" applyFill="1" applyBorder="1" applyAlignment="1">
      <alignment horizontal="left" vertical="center" wrapText="1"/>
    </xf>
    <xf numFmtId="0" fontId="29" fillId="3" borderId="4" xfId="0" applyFont="1" applyFill="1" applyBorder="1" applyAlignment="1">
      <alignment horizontal="left" vertical="center" wrapText="1"/>
    </xf>
    <xf numFmtId="0" fontId="29" fillId="3" borderId="14"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29" fillId="3" borderId="16" xfId="0" applyFont="1" applyFill="1" applyBorder="1" applyAlignment="1">
      <alignment horizontal="left" vertical="center" wrapText="1"/>
    </xf>
    <xf numFmtId="0" fontId="29" fillId="0" borderId="7" xfId="0" applyFont="1" applyFill="1" applyBorder="1" applyAlignment="1">
      <alignment horizontal="center" vertical="center"/>
    </xf>
    <xf numFmtId="0" fontId="29" fillId="0" borderId="10"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2" xfId="0" applyFont="1" applyFill="1" applyBorder="1" applyAlignment="1">
      <alignment horizontal="center" vertical="center"/>
    </xf>
    <xf numFmtId="0" fontId="29" fillId="0" borderId="4" xfId="0" applyFont="1" applyFill="1" applyBorder="1" applyAlignment="1">
      <alignment horizontal="center" vertical="center"/>
    </xf>
    <xf numFmtId="0" fontId="29" fillId="3" borderId="7" xfId="0" applyFont="1" applyFill="1" applyBorder="1" applyAlignment="1">
      <alignment horizontal="left" vertical="center" wrapText="1"/>
    </xf>
    <xf numFmtId="0" fontId="29" fillId="3" borderId="11" xfId="0" applyFont="1" applyFill="1" applyBorder="1" applyAlignment="1">
      <alignment horizontal="left" vertical="center" wrapText="1"/>
    </xf>
    <xf numFmtId="0" fontId="29" fillId="3" borderId="12" xfId="0" applyFont="1" applyFill="1" applyBorder="1" applyAlignment="1">
      <alignment horizontal="left" vertical="center" wrapText="1"/>
    </xf>
    <xf numFmtId="4" fontId="34" fillId="0" borderId="3" xfId="0" applyNumberFormat="1" applyFont="1" applyFill="1" applyBorder="1" applyAlignment="1">
      <alignment horizontal="center" vertical="center" wrapText="1"/>
    </xf>
    <xf numFmtId="4" fontId="34" fillId="0" borderId="15" xfId="0" applyNumberFormat="1" applyFont="1" applyFill="1" applyBorder="1" applyAlignment="1">
      <alignment horizontal="center" vertical="center" wrapText="1"/>
    </xf>
    <xf numFmtId="4" fontId="34" fillId="0" borderId="10" xfId="0" applyNumberFormat="1" applyFont="1" applyFill="1" applyBorder="1" applyAlignment="1">
      <alignment horizontal="center" vertical="center" wrapText="1"/>
    </xf>
    <xf numFmtId="4" fontId="34" fillId="0" borderId="8" xfId="0" applyNumberFormat="1" applyFont="1" applyFill="1" applyBorder="1" applyAlignment="1">
      <alignment horizontal="center" vertical="center" wrapText="1"/>
    </xf>
    <xf numFmtId="0" fontId="29" fillId="3" borderId="10" xfId="0" applyFont="1" applyFill="1" applyBorder="1" applyAlignment="1">
      <alignment horizontal="left"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9" xfId="0" applyFill="1" applyBorder="1" applyAlignment="1">
      <alignment horizontal="center" vertical="center" wrapText="1"/>
    </xf>
    <xf numFmtId="0" fontId="0" fillId="0" borderId="8" xfId="0" applyFill="1" applyBorder="1" applyAlignment="1">
      <alignment horizontal="center" vertical="center" wrapText="1"/>
    </xf>
    <xf numFmtId="4" fontId="52" fillId="0" borderId="7" xfId="15" applyNumberFormat="1" applyFont="1" applyFill="1" applyBorder="1" applyAlignment="1">
      <alignment horizontal="center" vertical="center" wrapText="1"/>
    </xf>
    <xf numFmtId="4" fontId="52" fillId="0" borderId="11" xfId="15" applyNumberFormat="1" applyFont="1" applyFill="1" applyBorder="1" applyAlignment="1">
      <alignment horizontal="center" vertical="center" wrapText="1"/>
    </xf>
    <xf numFmtId="4" fontId="52" fillId="0" borderId="12" xfId="15" applyNumberFormat="1" applyFont="1" applyFill="1" applyBorder="1" applyAlignment="1">
      <alignment horizontal="center" vertical="center" wrapText="1"/>
    </xf>
    <xf numFmtId="4" fontId="30" fillId="0" borderId="1" xfId="15" applyNumberFormat="1" applyFont="1" applyFill="1" applyBorder="1" applyAlignment="1">
      <alignment horizontal="center" vertical="center" wrapText="1"/>
    </xf>
    <xf numFmtId="4" fontId="0" fillId="0" borderId="43" xfId="0" applyNumberFormat="1" applyFill="1" applyBorder="1" applyAlignment="1">
      <alignment horizontal="center" vertical="center" wrapText="1"/>
    </xf>
    <xf numFmtId="4" fontId="0" fillId="0" borderId="42" xfId="0" applyNumberFormat="1" applyFill="1" applyBorder="1" applyAlignment="1">
      <alignment horizontal="center" vertical="center"/>
    </xf>
    <xf numFmtId="4" fontId="0" fillId="0" borderId="30" xfId="0" applyNumberFormat="1" applyFill="1" applyBorder="1" applyAlignment="1">
      <alignment horizontal="center" vertical="center"/>
    </xf>
    <xf numFmtId="4" fontId="0" fillId="0" borderId="9" xfId="0" applyNumberFormat="1" applyFill="1" applyBorder="1" applyAlignment="1">
      <alignment horizontal="center" vertical="center"/>
    </xf>
    <xf numFmtId="4" fontId="0" fillId="0" borderId="30" xfId="0" applyNumberFormat="1" applyFill="1" applyBorder="1" applyAlignment="1">
      <alignment horizontal="center" vertical="center" wrapText="1"/>
    </xf>
    <xf numFmtId="4" fontId="0" fillId="0" borderId="52" xfId="0" applyNumberFormat="1" applyFill="1" applyBorder="1" applyAlignment="1">
      <alignment horizontal="center" vertical="center" wrapText="1"/>
    </xf>
    <xf numFmtId="4" fontId="28" fillId="0" borderId="52" xfId="0" applyNumberFormat="1" applyFont="1" applyFill="1" applyBorder="1" applyAlignment="1">
      <alignment horizontal="left" vertical="top" wrapText="1"/>
    </xf>
    <xf numFmtId="4" fontId="28" fillId="0" borderId="53" xfId="0" applyNumberFormat="1" applyFont="1" applyFill="1" applyBorder="1" applyAlignment="1">
      <alignment horizontal="left" vertical="top" wrapText="1"/>
    </xf>
    <xf numFmtId="4" fontId="28" fillId="0" borderId="47" xfId="0" applyNumberFormat="1" applyFont="1" applyFill="1" applyBorder="1" applyAlignment="1">
      <alignment horizontal="center" vertical="center"/>
    </xf>
    <xf numFmtId="4" fontId="28" fillId="0" borderId="40" xfId="0" applyNumberFormat="1" applyFont="1" applyFill="1" applyBorder="1" applyAlignment="1">
      <alignment horizontal="center" vertical="center"/>
    </xf>
    <xf numFmtId="4" fontId="28" fillId="0" borderId="28" xfId="0" applyNumberFormat="1" applyFont="1" applyFill="1" applyBorder="1" applyAlignment="1">
      <alignment horizontal="center" vertical="center"/>
    </xf>
    <xf numFmtId="4" fontId="28" fillId="0" borderId="22" xfId="0" applyNumberFormat="1" applyFont="1" applyFill="1" applyBorder="1" applyAlignment="1">
      <alignment horizontal="center" vertical="center"/>
    </xf>
    <xf numFmtId="4" fontId="28" fillId="0" borderId="22" xfId="0" applyNumberFormat="1" applyFont="1" applyFill="1" applyBorder="1" applyAlignment="1">
      <alignment horizontal="left" vertical="top" wrapText="1"/>
    </xf>
    <xf numFmtId="4" fontId="28" fillId="0" borderId="49" xfId="0" applyNumberFormat="1" applyFont="1" applyFill="1" applyBorder="1" applyAlignment="1">
      <alignment horizontal="left" vertical="top" wrapText="1"/>
    </xf>
    <xf numFmtId="4" fontId="28" fillId="0" borderId="50" xfId="0" applyNumberFormat="1" applyFont="1" applyFill="1" applyBorder="1" applyAlignment="1">
      <alignment horizontal="left" vertical="top" wrapText="1"/>
    </xf>
    <xf numFmtId="4" fontId="28" fillId="0" borderId="33" xfId="0" applyNumberFormat="1" applyFont="1" applyFill="1" applyBorder="1" applyAlignment="1">
      <alignment horizontal="center" vertical="center"/>
    </xf>
    <xf numFmtId="4" fontId="28" fillId="0" borderId="10" xfId="0" applyNumberFormat="1" applyFont="1" applyFill="1" applyBorder="1" applyAlignment="1">
      <alignment horizontal="left" vertical="top" wrapText="1"/>
    </xf>
    <xf numFmtId="4" fontId="28" fillId="0" borderId="16" xfId="0" applyNumberFormat="1" applyFont="1" applyFill="1" applyBorder="1" applyAlignment="1">
      <alignment horizontal="left" vertical="top" wrapText="1"/>
    </xf>
    <xf numFmtId="4" fontId="28" fillId="0" borderId="12" xfId="0" applyNumberFormat="1" applyFont="1" applyFill="1" applyBorder="1" applyAlignment="1">
      <alignment horizontal="left" vertical="top" wrapText="1"/>
    </xf>
    <xf numFmtId="4" fontId="28" fillId="0" borderId="36" xfId="0" applyNumberFormat="1" applyFont="1" applyFill="1" applyBorder="1" applyAlignment="1">
      <alignment horizontal="center" vertical="center"/>
    </xf>
    <xf numFmtId="4" fontId="28" fillId="0" borderId="1" xfId="0" applyNumberFormat="1" applyFont="1" applyFill="1" applyBorder="1" applyAlignment="1">
      <alignment horizontal="center" vertical="center"/>
    </xf>
    <xf numFmtId="0" fontId="73" fillId="0" borderId="0" xfId="0" applyFont="1" applyAlignment="1">
      <alignment horizontal="left" vertical="center" wrapText="1"/>
    </xf>
    <xf numFmtId="0" fontId="0" fillId="0" borderId="0" xfId="0" applyAlignment="1">
      <alignment horizontal="left" vertical="center"/>
    </xf>
    <xf numFmtId="0" fontId="29" fillId="0" borderId="1" xfId="0" applyFont="1" applyFill="1" applyBorder="1" applyAlignment="1">
      <alignment horizontal="center" vertical="center"/>
    </xf>
    <xf numFmtId="4" fontId="28" fillId="0" borderId="0" xfId="0" applyNumberFormat="1" applyFont="1" applyAlignment="1">
      <alignment horizontal="center" vertical="center"/>
    </xf>
    <xf numFmtId="4" fontId="28" fillId="5" borderId="10" xfId="0" applyNumberFormat="1" applyFont="1" applyFill="1" applyBorder="1" applyAlignment="1">
      <alignment horizontal="center" vertical="center"/>
    </xf>
    <xf numFmtId="4" fontId="28" fillId="5" borderId="9" xfId="0" applyNumberFormat="1" applyFont="1" applyFill="1" applyBorder="1" applyAlignment="1">
      <alignment horizontal="center" vertical="center"/>
    </xf>
    <xf numFmtId="4" fontId="28" fillId="5" borderId="8" xfId="0" applyNumberFormat="1" applyFont="1" applyFill="1" applyBorder="1" applyAlignment="1">
      <alignment horizontal="center" vertical="center"/>
    </xf>
    <xf numFmtId="4" fontId="29" fillId="5" borderId="9" xfId="0" applyNumberFormat="1" applyFont="1" applyFill="1" applyBorder="1" applyAlignment="1">
      <alignment horizontal="right" vertical="center"/>
    </xf>
    <xf numFmtId="4" fontId="28" fillId="5" borderId="3" xfId="0" applyNumberFormat="1" applyFont="1" applyFill="1" applyBorder="1" applyAlignment="1">
      <alignment horizontal="center" vertical="center"/>
    </xf>
    <xf numFmtId="4" fontId="28" fillId="5" borderId="15" xfId="0" applyNumberFormat="1" applyFont="1" applyFill="1" applyBorder="1" applyAlignment="1">
      <alignment horizontal="center" vertical="center"/>
    </xf>
    <xf numFmtId="0" fontId="29" fillId="5" borderId="9" xfId="0" applyFont="1" applyFill="1" applyBorder="1" applyAlignment="1">
      <alignment horizontal="left" vertical="center" wrapText="1"/>
    </xf>
    <xf numFmtId="0" fontId="29" fillId="5" borderId="38" xfId="0" applyFont="1" applyFill="1" applyBorder="1" applyAlignment="1">
      <alignment horizontal="left" vertical="center" wrapText="1"/>
    </xf>
    <xf numFmtId="4" fontId="100" fillId="0" borderId="7" xfId="15" applyNumberFormat="1" applyFont="1" applyFill="1" applyBorder="1" applyAlignment="1">
      <alignment horizontal="center" vertical="center" wrapText="1"/>
    </xf>
    <xf numFmtId="4" fontId="100" fillId="0" borderId="11" xfId="15" applyNumberFormat="1" applyFont="1" applyFill="1" applyBorder="1" applyAlignment="1">
      <alignment horizontal="center" vertical="center" wrapText="1"/>
    </xf>
    <xf numFmtId="4" fontId="100" fillId="0" borderId="12" xfId="15" applyNumberFormat="1" applyFont="1" applyFill="1" applyBorder="1" applyAlignment="1">
      <alignment horizontal="center" vertical="center" wrapText="1"/>
    </xf>
    <xf numFmtId="4" fontId="28" fillId="5" borderId="10" xfId="0" applyNumberFormat="1" applyFont="1" applyFill="1" applyBorder="1" applyAlignment="1">
      <alignment horizontal="center" vertical="center" wrapText="1"/>
    </xf>
    <xf numFmtId="4" fontId="28" fillId="5" borderId="9" xfId="0" applyNumberFormat="1" applyFont="1" applyFill="1" applyBorder="1" applyAlignment="1">
      <alignment horizontal="center" vertical="center" wrapText="1"/>
    </xf>
    <xf numFmtId="0" fontId="28" fillId="0" borderId="0" xfId="0" applyFont="1" applyAlignment="1">
      <alignment horizontal="center" vertical="center"/>
    </xf>
    <xf numFmtId="4" fontId="28" fillId="2" borderId="3" xfId="0" applyNumberFormat="1" applyFont="1" applyFill="1" applyBorder="1" applyAlignment="1">
      <alignment horizontal="center" vertical="center" wrapText="1"/>
    </xf>
    <xf numFmtId="4" fontId="28" fillId="2" borderId="15" xfId="0" applyNumberFormat="1" applyFont="1" applyFill="1" applyBorder="1" applyAlignment="1">
      <alignment horizontal="center" vertical="center" wrapText="1"/>
    </xf>
    <xf numFmtId="4" fontId="28" fillId="0" borderId="38" xfId="0" applyNumberFormat="1" applyFont="1" applyFill="1" applyBorder="1" applyAlignment="1">
      <alignment horizontal="center" vertical="center" wrapText="1"/>
    </xf>
    <xf numFmtId="4" fontId="28" fillId="0" borderId="15" xfId="0" applyNumberFormat="1" applyFont="1" applyFill="1" applyBorder="1" applyAlignment="1">
      <alignment horizontal="center" vertical="center" wrapText="1"/>
    </xf>
    <xf numFmtId="4" fontId="28" fillId="0" borderId="0" xfId="0" applyNumberFormat="1" applyFont="1" applyFill="1" applyBorder="1" applyAlignment="1">
      <alignment horizontal="center" wrapText="1"/>
    </xf>
    <xf numFmtId="4" fontId="28" fillId="0" borderId="0" xfId="0" applyNumberFormat="1" applyFont="1" applyFill="1" applyBorder="1" applyAlignment="1">
      <alignment horizontal="left" vertical="top" wrapText="1"/>
    </xf>
    <xf numFmtId="44" fontId="28" fillId="0" borderId="0" xfId="0" applyNumberFormat="1" applyFont="1" applyFill="1" applyBorder="1" applyAlignment="1">
      <alignment horizontal="left" vertical="center" wrapText="1"/>
    </xf>
    <xf numFmtId="4" fontId="28" fillId="0" borderId="0" xfId="0" applyNumberFormat="1" applyFont="1" applyFill="1" applyBorder="1" applyAlignment="1">
      <alignment horizontal="center" vertical="center"/>
    </xf>
    <xf numFmtId="4" fontId="28" fillId="2" borderId="0" xfId="0" applyNumberFormat="1" applyFont="1" applyFill="1" applyBorder="1" applyAlignment="1">
      <alignment horizontal="center" vertical="center" wrapText="1"/>
    </xf>
    <xf numFmtId="4" fontId="28" fillId="2" borderId="0" xfId="0" applyNumberFormat="1" applyFont="1" applyFill="1" applyBorder="1" applyAlignment="1">
      <alignment vertical="top" wrapText="1"/>
    </xf>
    <xf numFmtId="4" fontId="28" fillId="2" borderId="0" xfId="0" applyNumberFormat="1" applyFont="1" applyFill="1" applyBorder="1" applyAlignment="1">
      <alignment horizontal="center" vertical="center"/>
    </xf>
    <xf numFmtId="4" fontId="28" fillId="0" borderId="0" xfId="0" applyNumberFormat="1" applyFont="1" applyFill="1" applyBorder="1" applyAlignment="1">
      <alignment horizontal="center" vertical="center" wrapText="1"/>
    </xf>
    <xf numFmtId="4" fontId="0" fillId="0" borderId="2" xfId="0" applyNumberFormat="1" applyFill="1" applyBorder="1" applyAlignment="1">
      <alignment horizontal="center" vertical="center" wrapText="1"/>
    </xf>
    <xf numFmtId="4" fontId="0" fillId="0" borderId="0" xfId="0" applyNumberFormat="1" applyFill="1" applyBorder="1" applyAlignment="1">
      <alignment horizontal="center" vertical="center" wrapText="1"/>
    </xf>
    <xf numFmtId="4" fontId="0" fillId="0" borderId="4" xfId="0" applyNumberFormat="1" applyFill="1" applyBorder="1" applyAlignment="1">
      <alignment horizontal="center" vertical="center" wrapText="1"/>
    </xf>
    <xf numFmtId="0" fontId="29" fillId="0" borderId="3" xfId="0" applyFont="1" applyFill="1" applyBorder="1" applyAlignment="1">
      <alignment horizontal="center" vertical="center"/>
    </xf>
    <xf numFmtId="0" fontId="63" fillId="2" borderId="1" xfId="0" applyFont="1" applyFill="1" applyBorder="1" applyAlignment="1">
      <alignment horizontal="center" vertical="center" wrapText="1"/>
    </xf>
    <xf numFmtId="169" fontId="66" fillId="2" borderId="10" xfId="0" applyNumberFormat="1" applyFont="1" applyFill="1" applyBorder="1" applyAlignment="1">
      <alignment horizontal="center" vertical="center" wrapText="1"/>
    </xf>
    <xf numFmtId="169" fontId="66" fillId="2" borderId="9" xfId="0" applyNumberFormat="1" applyFont="1" applyFill="1" applyBorder="1" applyAlignment="1">
      <alignment horizontal="center" vertical="center" wrapText="1"/>
    </xf>
    <xf numFmtId="169" fontId="66" fillId="2" borderId="8" xfId="0" applyNumberFormat="1" applyFont="1" applyFill="1" applyBorder="1" applyAlignment="1">
      <alignment horizontal="center" vertical="center" wrapText="1"/>
    </xf>
    <xf numFmtId="0" fontId="70" fillId="2" borderId="1" xfId="0" applyFont="1" applyFill="1" applyBorder="1" applyAlignment="1">
      <alignment horizontal="center" vertical="center" wrapText="1"/>
    </xf>
    <xf numFmtId="0" fontId="49" fillId="2" borderId="1" xfId="0" applyFont="1" applyFill="1" applyBorder="1" applyAlignment="1">
      <alignment horizontal="center" vertical="center" wrapText="1"/>
    </xf>
    <xf numFmtId="0" fontId="28" fillId="2" borderId="1" xfId="35" applyFont="1" applyFill="1" applyBorder="1" applyAlignment="1">
      <alignment horizontal="center" vertical="center" textRotation="90" wrapText="1"/>
    </xf>
    <xf numFmtId="0" fontId="28" fillId="2" borderId="1" xfId="35" applyFont="1" applyFill="1" applyBorder="1" applyAlignment="1">
      <alignment horizontal="center" vertical="center" wrapText="1"/>
    </xf>
    <xf numFmtId="169" fontId="28" fillId="2" borderId="10" xfId="0" applyNumberFormat="1" applyFont="1" applyFill="1" applyBorder="1" applyAlignment="1">
      <alignment horizontal="center" vertical="center" wrapText="1"/>
    </xf>
    <xf numFmtId="169" fontId="28" fillId="2" borderId="9" xfId="0" applyNumberFormat="1" applyFont="1" applyFill="1" applyBorder="1" applyAlignment="1">
      <alignment horizontal="center" vertical="center" wrapText="1"/>
    </xf>
    <xf numFmtId="169" fontId="28" fillId="2" borderId="8" xfId="0" applyNumberFormat="1" applyFont="1" applyFill="1" applyBorder="1" applyAlignment="1">
      <alignment horizontal="center" vertical="center" wrapText="1"/>
    </xf>
    <xf numFmtId="0" fontId="29" fillId="0" borderId="8" xfId="0" applyFont="1" applyFill="1" applyBorder="1" applyAlignment="1">
      <alignment horizontal="center" vertical="center" wrapText="1"/>
    </xf>
  </cellXfs>
  <cellStyles count="307">
    <cellStyle name="Excel Built-in Normal" xfId="1"/>
    <cellStyle name="Денежный 2" xfId="2"/>
    <cellStyle name="Денежный 2 2" xfId="166"/>
    <cellStyle name="Денежный 3" xfId="3"/>
    <cellStyle name="Денежный 3 2" xfId="4"/>
    <cellStyle name="Денежный 3 3" xfId="167"/>
    <cellStyle name="Обычный" xfId="0" builtinId="0"/>
    <cellStyle name="Обычный 10" xfId="5"/>
    <cellStyle name="Обычный 10 2" xfId="6"/>
    <cellStyle name="Обычный 10 3" xfId="7"/>
    <cellStyle name="Обычный 10 3 2" xfId="168"/>
    <cellStyle name="Обычный 10 4" xfId="8"/>
    <cellStyle name="Обычный 10 4 2" xfId="169"/>
    <cellStyle name="Обычный 10 5" xfId="9"/>
    <cellStyle name="Обычный 10 5 2" xfId="170"/>
    <cellStyle name="Обычный 11" xfId="10"/>
    <cellStyle name="Обычный 11 2" xfId="11"/>
    <cellStyle name="Обычный 11 2 2" xfId="172"/>
    <cellStyle name="Обычный 11 3" xfId="117"/>
    <cellStyle name="Обычный 11 3 2" xfId="246"/>
    <cellStyle name="Обычный 11 4" xfId="171"/>
    <cellStyle name="Обычный 12" xfId="12"/>
    <cellStyle name="Обычный 12 2" xfId="173"/>
    <cellStyle name="Обычный 13" xfId="13"/>
    <cellStyle name="Обычный 13 2" xfId="174"/>
    <cellStyle name="Обычный 14" xfId="14"/>
    <cellStyle name="Обычный 14 2" xfId="175"/>
    <cellStyle name="Обычный 15" xfId="15"/>
    <cellStyle name="Обычный 15 2" xfId="108"/>
    <cellStyle name="Обычный 15 2 2" xfId="111"/>
    <cellStyle name="Обычный 15 2 2 2" xfId="114"/>
    <cellStyle name="Обычный 15 2 2 2 2" xfId="243"/>
    <cellStyle name="Обычный 15 2 2 2 3" xfId="293"/>
    <cellStyle name="Обычный 15 2 2 3" xfId="240"/>
    <cellStyle name="Обычный 15 2 3" xfId="237"/>
    <cellStyle name="Обычный 15 3" xfId="113"/>
    <cellStyle name="Обычный 15 3 2" xfId="115"/>
    <cellStyle name="Обычный 15 3 2 2" xfId="244"/>
    <cellStyle name="Обычный 15 3 2 3" xfId="294"/>
    <cellStyle name="Обычный 15 3 3" xfId="242"/>
    <cellStyle name="Обычный 15 4" xfId="129"/>
    <cellStyle name="Обычный 15 4 2" xfId="259"/>
    <cellStyle name="Обычный 15 5" xfId="176"/>
    <cellStyle name="Обычный 15 6" xfId="299"/>
    <cellStyle name="Обычный 15 7" xfId="305"/>
    <cellStyle name="Обычный 16" xfId="16"/>
    <cellStyle name="Обычный 16 2" xfId="109"/>
    <cellStyle name="Обычный 16 2 2" xfId="238"/>
    <cellStyle name="Обычный 16 3" xfId="128"/>
    <cellStyle name="Обычный 16 3 2" xfId="258"/>
    <cellStyle name="Обычный 16 4" xfId="177"/>
    <cellStyle name="Обычный 17" xfId="17"/>
    <cellStyle name="Обычный 17 2" xfId="178"/>
    <cellStyle name="Обычный 18" xfId="18"/>
    <cellStyle name="Обычный 18 2" xfId="179"/>
    <cellStyle name="Обычный 19" xfId="19"/>
    <cellStyle name="Обычный 19 2" xfId="130"/>
    <cellStyle name="Обычный 19 2 2" xfId="260"/>
    <cellStyle name="Обычный 19 3" xfId="180"/>
    <cellStyle name="Обычный 2" xfId="20"/>
    <cellStyle name="Обычный 2 2" xfId="21"/>
    <cellStyle name="Обычный 2 2 2" xfId="22"/>
    <cellStyle name="Обычный 2 2 2 2" xfId="304"/>
    <cellStyle name="Обычный 2 2 3" xfId="23"/>
    <cellStyle name="Обычный 2 2 4" xfId="126"/>
    <cellStyle name="Обычный 2 2 4 2" xfId="160"/>
    <cellStyle name="Обычный 2 2 4 3" xfId="256"/>
    <cellStyle name="Обычный 2 3" xfId="24"/>
    <cellStyle name="Обычный 2 3 2" xfId="25"/>
    <cellStyle name="Обычный 2 4" xfId="26"/>
    <cellStyle name="Обычный 2 5" xfId="27"/>
    <cellStyle name="Обычный 2 5 2" xfId="28"/>
    <cellStyle name="Обычный 2 5 2 2" xfId="181"/>
    <cellStyle name="Обычный 2 6" xfId="29"/>
    <cellStyle name="Обычный 2 7" xfId="30"/>
    <cellStyle name="Обычный 2 7 2" xfId="182"/>
    <cellStyle name="Обычный 2 8" xfId="31"/>
    <cellStyle name="Обычный 2 8 2" xfId="183"/>
    <cellStyle name="Обычный 20" xfId="32"/>
    <cellStyle name="Обычный 20 2" xfId="156"/>
    <cellStyle name="Обычный 20 2 2" xfId="286"/>
    <cellStyle name="Обычный 20 2 3" xfId="300"/>
    <cellStyle name="Обычный 20 3" xfId="184"/>
    <cellStyle name="Обычный 21" xfId="94"/>
    <cellStyle name="Обычный 21 2" xfId="227"/>
    <cellStyle name="Обычный 22" xfId="110"/>
    <cellStyle name="Обычный 22 2" xfId="145"/>
    <cellStyle name="Обычный 22 2 2" xfId="275"/>
    <cellStyle name="Обычный 22 3" xfId="163"/>
    <cellStyle name="Обычный 22 3 2" xfId="291"/>
    <cellStyle name="Обычный 22 4" xfId="239"/>
    <cellStyle name="Обычный 22 5" xfId="296"/>
    <cellStyle name="Обычный 23" xfId="131"/>
    <cellStyle name="Обычный 23 2" xfId="261"/>
    <cellStyle name="Обычный 24" xfId="144"/>
    <cellStyle name="Обычный 24 2" xfId="274"/>
    <cellStyle name="Обычный 25" xfId="162"/>
    <cellStyle name="Обычный 25 2" xfId="290"/>
    <cellStyle name="Обычный 26" xfId="164"/>
    <cellStyle name="Обычный 3" xfId="33"/>
    <cellStyle name="Обычный 3 2" xfId="34"/>
    <cellStyle name="Обычный 3 2 2 2" xfId="98"/>
    <cellStyle name="Обычный 3 3" xfId="159"/>
    <cellStyle name="Обычный 3_СВОД по мероприятиям ДМЦП на 2016-2018" xfId="99"/>
    <cellStyle name="Обычный 4" xfId="35"/>
    <cellStyle name="Обычный 4 2" xfId="36"/>
    <cellStyle name="Обычный 4 3" xfId="37"/>
    <cellStyle name="Обычный 4_Норильск" xfId="38"/>
    <cellStyle name="Обычный 5" xfId="39"/>
    <cellStyle name="Обычный 5 2" xfId="40"/>
    <cellStyle name="Обычный 5 3" xfId="41"/>
    <cellStyle name="Обычный 5 3 2" xfId="100"/>
    <cellStyle name="Обычный 5 3 2 2" xfId="101"/>
    <cellStyle name="Обычный 5 3 2 2 2" xfId="122"/>
    <cellStyle name="Обычный 5 3 2 2 2 2" xfId="251"/>
    <cellStyle name="Обычный 5 3 2 2 3" xfId="136"/>
    <cellStyle name="Обычный 5 3 2 2 3 2" xfId="266"/>
    <cellStyle name="Обычный 5 3 2 2 4" xfId="150"/>
    <cellStyle name="Обычный 5 3 2 2 4 2" xfId="280"/>
    <cellStyle name="Обычный 5 3 2 2 5" xfId="232"/>
    <cellStyle name="Обычный 5 3 2 3" xfId="121"/>
    <cellStyle name="Обычный 5 3 2 3 2" xfId="250"/>
    <cellStyle name="Обычный 5 3 2 4" xfId="135"/>
    <cellStyle name="Обычный 5 3 2 4 2" xfId="265"/>
    <cellStyle name="Обычный 5 3 2 5" xfId="149"/>
    <cellStyle name="Обычный 5 3 2 5 2" xfId="279"/>
    <cellStyle name="Обычный 5 3 2 6" xfId="231"/>
    <cellStyle name="Обычный 5 3 3" xfId="96"/>
    <cellStyle name="Обычный 5 3 3 2" xfId="42"/>
    <cellStyle name="Обычный 5 3 3 2 2" xfId="119"/>
    <cellStyle name="Обычный 5 3 3 2 2 2" xfId="248"/>
    <cellStyle name="Обычный 5 3 3 2 3" xfId="186"/>
    <cellStyle name="Обычный 5 3 3 3" xfId="133"/>
    <cellStyle name="Обычный 5 3 3 3 2" xfId="263"/>
    <cellStyle name="Обычный 5 3 3 4" xfId="147"/>
    <cellStyle name="Обычный 5 3 3 4 2" xfId="277"/>
    <cellStyle name="Обычный 5 3 3 5" xfId="229"/>
    <cellStyle name="Обычный 5 4" xfId="43"/>
    <cellStyle name="Обычный 5 5" xfId="185"/>
    <cellStyle name="Обычный 6" xfId="44"/>
    <cellStyle name="Обычный 6 2" xfId="45"/>
    <cellStyle name="Обычный 6 2 2" xfId="46"/>
    <cellStyle name="Обычный 6 2 3" xfId="104"/>
    <cellStyle name="Обычный 6 2 4" xfId="187"/>
    <cellStyle name="Обычный 6 3" xfId="47"/>
    <cellStyle name="Обычный 6 3 2" xfId="188"/>
    <cellStyle name="Обычный 7" xfId="48"/>
    <cellStyle name="Обычный 7 2" xfId="49"/>
    <cellStyle name="Обычный 7 2 2" xfId="50"/>
    <cellStyle name="Обычный 8" xfId="51"/>
    <cellStyle name="Обычный 8 2" xfId="52"/>
    <cellStyle name="Обычный 8 2 10" xfId="189"/>
    <cellStyle name="Обычный 8 2 13" xfId="138"/>
    <cellStyle name="Обычный 8 2 13 2" xfId="152"/>
    <cellStyle name="Обычный 8 2 13 2 2" xfId="282"/>
    <cellStyle name="Обычный 8 2 13 3" xfId="268"/>
    <cellStyle name="Обычный 8 2 19" xfId="141"/>
    <cellStyle name="Обычный 8 2 19 2" xfId="271"/>
    <cellStyle name="Обычный 8 2 2" xfId="53"/>
    <cellStyle name="Обычный 8 2 2 2" xfId="54"/>
    <cellStyle name="Обычный 8 2 2 2 10" xfId="153"/>
    <cellStyle name="Обычный 8 2 2 2 10 2" xfId="283"/>
    <cellStyle name="Обычный 8 2 2 2 11" xfId="191"/>
    <cellStyle name="Обычный 8 2 2 2 2" xfId="55"/>
    <cellStyle name="Обычный 8 2 2 2 2 2" xfId="192"/>
    <cellStyle name="Обычный 8 2 2 2 3" xfId="56"/>
    <cellStyle name="Обычный 8 2 2 2 3 2" xfId="125"/>
    <cellStyle name="Обычный 8 2 2 2 3 2 2" xfId="254"/>
    <cellStyle name="Обычный 8 2 2 2 3 3" xfId="193"/>
    <cellStyle name="Обычный 8 2 2 2 4" xfId="57"/>
    <cellStyle name="Обычный 8 2 2 2 4 2" xfId="194"/>
    <cellStyle name="Обычный 8 2 2 2 5" xfId="58"/>
    <cellStyle name="Обычный 8 2 2 2 5 2" xfId="195"/>
    <cellStyle name="Обычный 8 2 2 2 6" xfId="59"/>
    <cellStyle name="Обычный 8 2 2 2 6 2" xfId="196"/>
    <cellStyle name="Обычный 8 2 2 2 7" xfId="60"/>
    <cellStyle name="Обычный 8 2 2 2 7 2" xfId="197"/>
    <cellStyle name="Обычный 8 2 2 2 8" xfId="106"/>
    <cellStyle name="Обычный 8 2 2 2 8 2" xfId="235"/>
    <cellStyle name="Обычный 8 2 2 2 9" xfId="139"/>
    <cellStyle name="Обычный 8 2 2 2 9 2" xfId="269"/>
    <cellStyle name="Обычный 8 2 2 3" xfId="102"/>
    <cellStyle name="Обычный 8 2 2 3 2" xfId="112"/>
    <cellStyle name="Обычный 8 2 2 3 2 2" xfId="116"/>
    <cellStyle name="Обычный 8 2 2 3 2 2 2" xfId="245"/>
    <cellStyle name="Обычный 8 2 2 3 2 2 3" xfId="295"/>
    <cellStyle name="Обычный 8 2 2 3 2 3" xfId="241"/>
    <cellStyle name="Обычный 8 2 2 3 3" xfId="233"/>
    <cellStyle name="Обычный 8 2 2 4" xfId="123"/>
    <cellStyle name="Обычный 8 2 2 4 2" xfId="252"/>
    <cellStyle name="Обычный 8 2 2 5" xfId="137"/>
    <cellStyle name="Обычный 8 2 2 5 2" xfId="267"/>
    <cellStyle name="Обычный 8 2 2 6" xfId="151"/>
    <cellStyle name="Обычный 8 2 2 6 2" xfId="281"/>
    <cellStyle name="Обычный 8 2 2 7" xfId="190"/>
    <cellStyle name="Обычный 8 2 2 7 2" xfId="303"/>
    <cellStyle name="Обычный 8 2 2 8" xfId="302"/>
    <cellStyle name="Обычный 8 2 21" xfId="142"/>
    <cellStyle name="Обычный 8 2 21 2" xfId="272"/>
    <cellStyle name="Обычный 8 2 3" xfId="61"/>
    <cellStyle name="Обычный 8 2 3 2" xfId="62"/>
    <cellStyle name="Обычный 8 2 3 2 2" xfId="199"/>
    <cellStyle name="Обычный 8 2 3 3" xfId="63"/>
    <cellStyle name="Обычный 8 2 3 3 2" xfId="120"/>
    <cellStyle name="Обычный 8 2 3 3 2 2" xfId="249"/>
    <cellStyle name="Обычный 8 2 3 3 3" xfId="200"/>
    <cellStyle name="Обычный 8 2 3 4" xfId="64"/>
    <cellStyle name="Обычный 8 2 3 4 2" xfId="201"/>
    <cellStyle name="Обычный 8 2 3 5" xfId="65"/>
    <cellStyle name="Обычный 8 2 3 5 2" xfId="107"/>
    <cellStyle name="Обычный 8 2 3 5 2 2" xfId="236"/>
    <cellStyle name="Обычный 8 2 3 5 2 3" xfId="297"/>
    <cellStyle name="Обычный 8 2 3 5 3" xfId="127"/>
    <cellStyle name="Обычный 8 2 3 5 3 2" xfId="257"/>
    <cellStyle name="Обычный 8 2 3 5 3 3" xfId="298"/>
    <cellStyle name="Обычный 8 2 3 5 4" xfId="157"/>
    <cellStyle name="Обычный 8 2 3 5 4 2" xfId="287"/>
    <cellStyle name="Обычный 8 2 3 5 4 3" xfId="301"/>
    <cellStyle name="Обычный 8 2 3 5 5" xfId="165"/>
    <cellStyle name="Обычный 8 2 3 5 6" xfId="202"/>
    <cellStyle name="Обычный 8 2 3 6" xfId="97"/>
    <cellStyle name="Обычный 8 2 3 6 2" xfId="230"/>
    <cellStyle name="Обычный 8 2 3 7" xfId="134"/>
    <cellStyle name="Обычный 8 2 3 7 2" xfId="264"/>
    <cellStyle name="Обычный 8 2 3 8" xfId="148"/>
    <cellStyle name="Обычный 8 2 3 8 2" xfId="278"/>
    <cellStyle name="Обычный 8 2 3 9" xfId="198"/>
    <cellStyle name="Обычный 8 2 4" xfId="66"/>
    <cellStyle name="Обычный 8 2 4 2" xfId="203"/>
    <cellStyle name="Обычный 8 2 5" xfId="67"/>
    <cellStyle name="Обычный 8 2 5 2" xfId="118"/>
    <cellStyle name="Обычный 8 2 5 2 2" xfId="247"/>
    <cellStyle name="Обычный 8 2 5 3" xfId="204"/>
    <cellStyle name="Обычный 8 2 6" xfId="68"/>
    <cellStyle name="Обычный 8 2 6 2" xfId="146"/>
    <cellStyle name="Обычный 8 2 6 2 2" xfId="276"/>
    <cellStyle name="Обычный 8 2 6 3" xfId="205"/>
    <cellStyle name="Обычный 8 2 7" xfId="95"/>
    <cellStyle name="Обычный 8 2 7 2" xfId="143"/>
    <cellStyle name="Обычный 8 2 7 2 2" xfId="273"/>
    <cellStyle name="Обычный 8 2 7 3" xfId="228"/>
    <cellStyle name="Обычный 8 2 8" xfId="132"/>
    <cellStyle name="Обычный 8 2 8 2" xfId="154"/>
    <cellStyle name="Обычный 8 2 8 2 2" xfId="284"/>
    <cellStyle name="Обычный 8 2 8 3" xfId="155"/>
    <cellStyle name="Обычный 8 2 8 3 2" xfId="285"/>
    <cellStyle name="Обычный 8 2 8 4" xfId="262"/>
    <cellStyle name="Обычный 8 2 9" xfId="140"/>
    <cellStyle name="Обычный 8 2 9 2" xfId="158"/>
    <cellStyle name="Обычный 8 2 9 2 2" xfId="288"/>
    <cellStyle name="Обычный 8 2 9 3" xfId="161"/>
    <cellStyle name="Обычный 8 2 9 3 2" xfId="289"/>
    <cellStyle name="Обычный 8 2 9 4" xfId="270"/>
    <cellStyle name="Обычный 9" xfId="69"/>
    <cellStyle name="Обычный 9 2" xfId="70"/>
    <cellStyle name="Обычный 9 2 2" xfId="207"/>
    <cellStyle name="Обычный 9 3" xfId="206"/>
    <cellStyle name="Обычный_План ФХД на 15.12.2011 г." xfId="292"/>
    <cellStyle name="Обычный_ШР рязр. культ." xfId="71"/>
    <cellStyle name="Пояснение 2" xfId="103"/>
    <cellStyle name="Процентный 2" xfId="72"/>
    <cellStyle name="Процентный 3" xfId="73"/>
    <cellStyle name="Финансовый" xfId="306" builtinId="3"/>
    <cellStyle name="Финансовый 10" xfId="74"/>
    <cellStyle name="Финансовый 10 2" xfId="208"/>
    <cellStyle name="Финансовый 11" xfId="75"/>
    <cellStyle name="Финансовый 11 2" xfId="209"/>
    <cellStyle name="Финансовый 12" xfId="76"/>
    <cellStyle name="Финансовый 12 2" xfId="210"/>
    <cellStyle name="Финансовый 13" xfId="77"/>
    <cellStyle name="Финансовый 13 2" xfId="211"/>
    <cellStyle name="Финансовый 14" xfId="255"/>
    <cellStyle name="Финансовый 2" xfId="78"/>
    <cellStyle name="Финансовый 2 2" xfId="79"/>
    <cellStyle name="Финансовый 2 2 2" xfId="80"/>
    <cellStyle name="Финансовый 2 2 2 2" xfId="213"/>
    <cellStyle name="Финансовый 2 2 3" xfId="212"/>
    <cellStyle name="Финансовый 2 3" xfId="81"/>
    <cellStyle name="Финансовый 2 3 2" xfId="124"/>
    <cellStyle name="Финансовый 2 3 2 2" xfId="253"/>
    <cellStyle name="Финансовый 2 3 3" xfId="214"/>
    <cellStyle name="Финансовый 2 4" xfId="82"/>
    <cellStyle name="Финансовый 2 4 2" xfId="215"/>
    <cellStyle name="Финансовый 2 5" xfId="105"/>
    <cellStyle name="Финансовый 2 5 2" xfId="234"/>
    <cellStyle name="Финансовый 3" xfId="83"/>
    <cellStyle name="Финансовый 3 2" xfId="84"/>
    <cellStyle name="Финансовый 3 2 2" xfId="217"/>
    <cellStyle name="Финансовый 3 3" xfId="85"/>
    <cellStyle name="Финансовый 3 3 2" xfId="218"/>
    <cellStyle name="Финансовый 3 4" xfId="86"/>
    <cellStyle name="Финансовый 3 4 2" xfId="219"/>
    <cellStyle name="Финансовый 3 5" xfId="216"/>
    <cellStyle name="Финансовый 4" xfId="87"/>
    <cellStyle name="Финансовый 4 2" xfId="88"/>
    <cellStyle name="Финансовый 4 2 2" xfId="221"/>
    <cellStyle name="Финансовый 4 3" xfId="220"/>
    <cellStyle name="Финансовый 5" xfId="89"/>
    <cellStyle name="Финансовый 5 2" xfId="222"/>
    <cellStyle name="Финансовый 6" xfId="90"/>
    <cellStyle name="Финансовый 6 2" xfId="223"/>
    <cellStyle name="Финансовый 7" xfId="91"/>
    <cellStyle name="Финансовый 7 2" xfId="224"/>
    <cellStyle name="Финансовый 8" xfId="92"/>
    <cellStyle name="Финансовый 8 2" xfId="225"/>
    <cellStyle name="Финансовый 9" xfId="93"/>
    <cellStyle name="Финансовый 9 2" xfId="226"/>
  </cellStyles>
  <dxfs count="0"/>
  <tableStyles count="0" defaultTableStyle="TableStyleMedium9" defaultPivotStyle="PivotStyleLight16"/>
  <colors>
    <mruColors>
      <color rgb="FFFFCCCC"/>
      <color rgb="FFFFFFCC"/>
      <color rgb="FFE1A51F"/>
      <color rgb="FFCCCCFF"/>
      <color rgb="FFFF99FF"/>
      <color rgb="FFFF9999"/>
      <color rgb="FFCCFFCC"/>
      <color rgb="FFCC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8.xml"/><Relationship Id="rId47" Type="http://schemas.openxmlformats.org/officeDocument/2006/relationships/externalLink" Target="externalLinks/externalLink13.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externalLink" Target="externalLinks/externalLink6.xml"/><Relationship Id="rId45" Type="http://schemas.openxmlformats.org/officeDocument/2006/relationships/externalLink" Target="externalLinks/externalLink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externalLink" Target="externalLinks/externalLink9.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cnts4\userland\&#1041;&#1072;&#1083;&#1072;&#1085;&#1089;\An(EsMon)\SC_W\&#1055;&#1088;&#1086;&#1075;&#1085;&#1086;&#1079;\&#1055;&#1088;&#1086;&#1075;05_00(27.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cnts4\userland\&#1041;&#1072;&#1083;&#1072;&#1085;&#1089;\An(EsMon)\7.02.01\V&#1045;&#1052;_2001.5.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cnts4\userland\SC_W\&#1055;&#1088;&#1086;&#1075;&#1085;&#1086;&#1079;\&#1055;&#1088;&#1086;&#1075;05_00(27.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anova\ira_send\&#1045;&#1057;&#1052;&#1054;&#1053;2002\&#1052;&#1072;&#1090;&#1077;&#1088;&#1086;&#1074;-03.01.02\&#1041;&#1072;&#1083;&#1072;&#1085;&#1089;\An(EsMon)\&#1061;&#1072;&#1085;&#1086;&#1074;&#1072;\&#1043;&#1088;(27.07.00)5&#106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KULT11\plan\&#1050;&#1091;&#1088;&#1072;&#1085;&#1086;&#1074;\Pr(2000)Tabl\9&#1072;&#1087;&#1088;2003\V&#1094;&#1077;&#1083;2.1_2002.1.04.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nts4\userland\&#1041;&#1072;&#1083;&#1072;&#1085;&#1089;\An(EsMon)\7.02.01\SC_W\&#1055;&#1088;&#1086;&#1075;&#1085;&#1086;&#1079;\&#1055;&#1088;&#1086;&#1075;05_00(27.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cnts4\userland\&#1041;&#1072;&#1083;&#1072;&#1085;&#1089;\An(EsMon)\7.02.01\&#1061;&#1072;&#1085;&#1086;&#1074;&#1072;\&#1043;&#1088;(27.07.00)5&#106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cnts4\userland\&#1041;&#1072;&#1083;&#1072;&#1085;&#1089;\An(EsMon)\&#1061;&#1072;&#1085;&#1086;&#1074;&#1072;\&#1043;&#1088;(27.07.00)5&#106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anova\ira_send\&#1045;&#1057;&#1052;&#1054;&#1053;2002\&#1052;&#1072;&#1090;&#1077;&#1088;&#1086;&#1074;-03.01.02\&#1041;&#1072;&#1083;&#1072;&#1085;&#1089;\An(EsMon)\7.02.01\&#1061;&#1072;&#1085;&#1086;&#1074;&#1072;\&#1043;&#1088;(27.07.00)5&#106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anova\ira_send\&#1045;&#1057;&#1052;&#1054;&#1053;2002\&#1052;&#1072;&#1090;&#1077;&#1088;&#1086;&#1074;-03.01.02\&#1041;&#1072;&#1083;&#1072;&#1085;&#1089;\An(EsMon)\7.02.01\SC_W\&#1055;&#1088;&#1086;&#1075;&#1085;&#1086;&#1079;\&#1055;&#1088;&#1086;&#1075;05_00(27.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anova\ira_send\&#1045;&#1057;&#1052;&#1054;&#1053;2002\&#1052;&#1072;&#1090;&#1077;&#1088;&#1086;&#1074;-03.01.02\&#1041;&#1072;&#1083;&#1072;&#1085;&#1089;\An(EsMon)\SC_W\&#1055;&#1088;&#1086;&#1075;&#1085;&#1086;&#1079;\&#1055;&#1088;&#1086;&#1075;05_00(27.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cnts4\userland\&#1061;&#1072;&#1085;&#1086;&#1074;&#1072;\&#1043;&#1088;(27.07.00)5&#106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72.23.21.7\&#1087;&#1088;&#1080;&#1077;&#1084;&#1085;&#1072;&#1103;\&#1050;&#1091;&#1088;&#1072;&#1085;&#1086;&#1074;\Pr(2000)Tabl\9&#1072;&#1087;&#1088;2003\V&#1094;&#1077;&#1083;2.1_2002.1.04.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НОЗ_1"/>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99"/>
      <sheetName val="2002(v1)"/>
      <sheetName val="2002(v2)"/>
      <sheetName val="I"/>
      <sheetName val="Печv1"/>
      <sheetName val="Печv2 "/>
      <sheetName val="ПечМОНv1"/>
      <sheetName val="2002_v1_"/>
      <sheetName val="Печv2_"/>
      <sheetName val="Печv2_1"/>
    </sheetNames>
    <sheetDataSet>
      <sheetData sheetId="0"/>
      <sheetData sheetId="1"/>
      <sheetData sheetId="2" refreshError="1"/>
      <sheetData sheetId="3" refreshError="1"/>
      <sheetData sheetId="4" refreshError="1"/>
      <sheetData sheetId="5" refreshError="1"/>
      <sheetData sheetId="6" refreshError="1"/>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НОЗ_1"/>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1(98_00)"/>
      <sheetName val="Гр1(99_00)"/>
      <sheetName val="Гр2"/>
      <sheetName val="Гр2(06)"/>
      <sheetName val="Гр3"/>
      <sheetName val="Прод(Непр)"/>
      <sheetName val="Гр4"/>
      <sheetName val="Гр4(06)"/>
      <sheetName val="Гр5(о)"/>
      <sheetName val="Гр6"/>
      <sheetName val="Гр5_о_"/>
      <sheetName val="ПРОГНОЗ_1"/>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99"/>
      <sheetName val="2002(v2)"/>
      <sheetName val="2004(v2) "/>
      <sheetName val="Печ"/>
      <sheetName val="2002(v1) "/>
      <sheetName val="2004(v1)  "/>
      <sheetName val="2002-03(v2) "/>
      <sheetName val="2002-03(v1)  "/>
      <sheetName val="I"/>
      <sheetName val="динамика цвет мет "/>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НОЗ_1"/>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1(98_00)"/>
      <sheetName val="Гр1(99_00)"/>
      <sheetName val="Гр2"/>
      <sheetName val="Гр2(06)"/>
      <sheetName val="Гр3"/>
      <sheetName val="Прод(Непр)"/>
      <sheetName val="Гр4"/>
      <sheetName val="Гр4(06)"/>
      <sheetName val="Гр5(о)"/>
      <sheetName val="Гр6"/>
      <sheetName val="Гр5_о_"/>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1(98_00)"/>
      <sheetName val="Гр1(99_00)"/>
      <sheetName val="Гр2"/>
      <sheetName val="Гр2(06)"/>
      <sheetName val="Гр3"/>
      <sheetName val="Прод(Непр)"/>
      <sheetName val="Гр4"/>
      <sheetName val="Гр4(06)"/>
      <sheetName val="Гр5(о)"/>
      <sheetName val="Гр6"/>
      <sheetName val="Гр5_о_"/>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1(98_00)"/>
      <sheetName val="Гр1(99_00)"/>
      <sheetName val="Гр2"/>
      <sheetName val="Гр2(06)"/>
      <sheetName val="Гр3"/>
      <sheetName val="Прод(Непр)"/>
      <sheetName val="Гр4"/>
      <sheetName val="Гр4(06)"/>
      <sheetName val="Гр5(о)"/>
      <sheetName val="Гр6"/>
      <sheetName val="Гр5_о_"/>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НОЗ_1"/>
      <sheetName val="Гр5(о)"/>
    </sheetNames>
    <sheetDataSet>
      <sheetData sheetId="0"/>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НОЗ_1"/>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1(98_00)"/>
      <sheetName val="Гр1(99_00)"/>
      <sheetName val="Гр2"/>
      <sheetName val="Гр2(06)"/>
      <sheetName val="Гр3"/>
      <sheetName val="Прод(Непр)"/>
      <sheetName val="Гр4"/>
      <sheetName val="Гр4(06)"/>
      <sheetName val="Гр5(о)"/>
      <sheetName val="Гр6"/>
      <sheetName val="Гр5_о_"/>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99"/>
      <sheetName val="2002(v2)"/>
      <sheetName val="2004(v2) "/>
      <sheetName val="Печ"/>
      <sheetName val="2002(v1) "/>
      <sheetName val="2004(v1)  "/>
      <sheetName val="2002-03(v2) "/>
      <sheetName val="2002-03(v1)  "/>
      <sheetName val="I"/>
      <sheetName val="динамика цвет мет "/>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pageSetUpPr fitToPage="1"/>
  </sheetPr>
  <dimension ref="A2:W46"/>
  <sheetViews>
    <sheetView view="pageBreakPreview" zoomScale="80" zoomScaleSheetLayoutView="80" workbookViewId="0">
      <pane xSplit="1" ySplit="9" topLeftCell="B10"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59.6640625" style="7" customWidth="1"/>
    <col min="2" max="2" width="11.6640625" style="7" customWidth="1"/>
    <col min="3" max="3" width="14.6640625" style="7" customWidth="1"/>
    <col min="4" max="4" width="14" style="7" customWidth="1"/>
    <col min="5" max="20" width="14.77734375" style="13" customWidth="1"/>
    <col min="21" max="21" width="12.44140625" style="7" customWidth="1"/>
    <col min="22" max="22" width="15.44140625" style="7" bestFit="1" customWidth="1"/>
    <col min="23" max="23" width="14.33203125" style="7" customWidth="1"/>
    <col min="24" max="24" width="11.44140625" style="7" bestFit="1" customWidth="1"/>
    <col min="25" max="16384" width="9.33203125" style="7"/>
  </cols>
  <sheetData>
    <row r="2" spans="1:23" x14ac:dyDescent="0.25">
      <c r="A2" s="1513" t="s">
        <v>168</v>
      </c>
      <c r="B2" s="1513"/>
      <c r="C2" s="1513"/>
      <c r="D2" s="1513"/>
      <c r="E2" s="1513"/>
      <c r="F2" s="1513"/>
      <c r="G2" s="1513"/>
      <c r="H2" s="1513"/>
      <c r="I2" s="1513"/>
      <c r="J2" s="1513"/>
      <c r="K2" s="1513"/>
      <c r="L2" s="1513"/>
      <c r="M2" s="1513"/>
      <c r="N2" s="1513"/>
      <c r="O2" s="1513"/>
      <c r="P2" s="1513"/>
      <c r="Q2" s="1513"/>
      <c r="R2" s="1513"/>
      <c r="S2" s="1513"/>
      <c r="T2" s="1513"/>
      <c r="U2" s="1513"/>
      <c r="V2" s="1513"/>
      <c r="W2" s="1513"/>
    </row>
    <row r="4" spans="1:23" x14ac:dyDescent="0.25">
      <c r="A4" s="1513" t="s">
        <v>169</v>
      </c>
      <c r="B4" s="1513"/>
      <c r="C4" s="1513"/>
      <c r="D4" s="1513"/>
      <c r="E4" s="1513"/>
      <c r="F4" s="1513"/>
      <c r="G4" s="1513"/>
      <c r="H4" s="1513"/>
      <c r="I4" s="1513"/>
      <c r="J4" s="1513"/>
      <c r="K4" s="1513"/>
      <c r="L4" s="1513"/>
      <c r="M4" s="1513"/>
      <c r="N4" s="1513"/>
      <c r="O4" s="1513"/>
      <c r="P4" s="1513"/>
      <c r="Q4" s="1513"/>
      <c r="R4" s="1513"/>
      <c r="S4" s="1513"/>
      <c r="T4" s="1513"/>
      <c r="U4" s="1513"/>
      <c r="V4" s="1513"/>
      <c r="W4" s="1513"/>
    </row>
    <row r="5" spans="1:23" x14ac:dyDescent="0.25">
      <c r="A5" s="291"/>
      <c r="B5" s="291"/>
      <c r="C5" s="291"/>
      <c r="D5" s="291"/>
      <c r="E5" s="291"/>
      <c r="F5" s="291"/>
      <c r="G5" s="291"/>
      <c r="H5" s="291"/>
      <c r="I5" s="291"/>
      <c r="J5" s="291"/>
      <c r="K5" s="291"/>
      <c r="L5" s="291"/>
      <c r="M5" s="291"/>
      <c r="N5" s="291"/>
      <c r="O5" s="291"/>
      <c r="P5" s="291"/>
      <c r="Q5" s="291"/>
      <c r="R5" s="291"/>
      <c r="S5" s="291"/>
      <c r="T5" s="291"/>
      <c r="U5" s="291"/>
      <c r="V5" s="291"/>
      <c r="W5" s="291"/>
    </row>
    <row r="6" spans="1:23" x14ac:dyDescent="0.25">
      <c r="A6" s="291"/>
      <c r="B6" s="291"/>
      <c r="C6" s="291"/>
      <c r="D6" s="291"/>
      <c r="E6" s="291"/>
      <c r="F6" s="291"/>
      <c r="G6" s="291"/>
      <c r="H6" s="291"/>
      <c r="I6" s="291"/>
      <c r="J6" s="291"/>
      <c r="K6" s="291"/>
      <c r="L6" s="291"/>
      <c r="M6" s="291"/>
      <c r="N6" s="291"/>
      <c r="O6" s="291"/>
      <c r="P6" s="291"/>
      <c r="Q6" s="291"/>
      <c r="R6" s="291"/>
      <c r="S6" s="291"/>
      <c r="T6" s="291"/>
      <c r="U6" s="291"/>
      <c r="V6" s="291"/>
      <c r="W6" s="291"/>
    </row>
    <row r="7" spans="1:23" x14ac:dyDescent="0.25">
      <c r="A7" s="7" t="s">
        <v>170</v>
      </c>
    </row>
    <row r="8" spans="1:23" ht="42.75" customHeight="1" x14ac:dyDescent="0.25">
      <c r="A8" s="1514" t="s">
        <v>95</v>
      </c>
      <c r="B8" s="1515" t="s">
        <v>98</v>
      </c>
      <c r="C8" s="1517" t="s">
        <v>140</v>
      </c>
      <c r="D8" s="1518"/>
      <c r="E8" s="1519"/>
      <c r="F8" s="1517" t="s">
        <v>152</v>
      </c>
      <c r="G8" s="1518"/>
      <c r="H8" s="1519"/>
      <c r="I8" s="1520" t="s">
        <v>165</v>
      </c>
      <c r="J8" s="1521"/>
      <c r="K8" s="1522"/>
      <c r="L8" s="1520" t="s">
        <v>172</v>
      </c>
      <c r="M8" s="1521"/>
      <c r="N8" s="1522"/>
      <c r="O8" s="1520" t="s">
        <v>8</v>
      </c>
      <c r="P8" s="1521"/>
      <c r="Q8" s="1522"/>
      <c r="R8" s="1520" t="s">
        <v>173</v>
      </c>
      <c r="S8" s="1521"/>
      <c r="T8" s="1522"/>
      <c r="U8" s="1523" t="s">
        <v>174</v>
      </c>
      <c r="V8" s="1523"/>
      <c r="W8" s="1523"/>
    </row>
    <row r="9" spans="1:23" ht="27.75" customHeight="1" x14ac:dyDescent="0.25">
      <c r="A9" s="1514"/>
      <c r="B9" s="1516"/>
      <c r="C9" s="292">
        <v>991</v>
      </c>
      <c r="D9" s="292">
        <v>992</v>
      </c>
      <c r="E9" s="15">
        <v>911</v>
      </c>
      <c r="F9" s="292">
        <v>991</v>
      </c>
      <c r="G9" s="292">
        <v>992</v>
      </c>
      <c r="H9" s="15">
        <v>911</v>
      </c>
      <c r="I9" s="294">
        <v>991</v>
      </c>
      <c r="J9" s="294">
        <v>992</v>
      </c>
      <c r="K9" s="294">
        <v>911</v>
      </c>
      <c r="L9" s="294">
        <v>991</v>
      </c>
      <c r="M9" s="294">
        <v>992</v>
      </c>
      <c r="N9" s="294"/>
      <c r="O9" s="294">
        <v>991</v>
      </c>
      <c r="P9" s="294">
        <v>992</v>
      </c>
      <c r="Q9" s="294">
        <v>911</v>
      </c>
      <c r="R9" s="294">
        <v>991</v>
      </c>
      <c r="S9" s="294">
        <v>992</v>
      </c>
      <c r="T9" s="294">
        <v>911</v>
      </c>
      <c r="U9" s="292">
        <v>991</v>
      </c>
      <c r="V9" s="293">
        <v>992</v>
      </c>
      <c r="W9" s="292">
        <v>911</v>
      </c>
    </row>
    <row r="10" spans="1:23" s="13" customFormat="1" ht="38.25" customHeight="1" x14ac:dyDescent="0.25">
      <c r="A10" s="273" t="s">
        <v>111</v>
      </c>
      <c r="B10" s="8">
        <f>'музей 2020'!C28</f>
        <v>64.5</v>
      </c>
      <c r="C10" s="10">
        <f>'музей 2020'!G34</f>
        <v>39360.400000000001</v>
      </c>
      <c r="D10" s="10">
        <f>'музей 2020'!H34</f>
        <v>11661.7</v>
      </c>
      <c r="E10" s="10">
        <v>897</v>
      </c>
      <c r="F10" s="10"/>
      <c r="G10" s="10"/>
      <c r="H10" s="10"/>
      <c r="I10" s="295">
        <f>'музей 2020'!V28</f>
        <v>39360.400000000001</v>
      </c>
      <c r="J10" s="295">
        <f>'музей 2020'!W28</f>
        <v>11654.6</v>
      </c>
      <c r="K10" s="295">
        <f>'музей 2020'!AH28</f>
        <v>1677</v>
      </c>
      <c r="L10" s="295">
        <v>12072.6</v>
      </c>
      <c r="M10" s="295">
        <v>3617.2</v>
      </c>
      <c r="N10" s="295"/>
      <c r="O10" s="295">
        <f t="shared" ref="O10:Q15" si="0">I10+L10</f>
        <v>51433</v>
      </c>
      <c r="P10" s="295">
        <f t="shared" si="0"/>
        <v>15271.8</v>
      </c>
      <c r="Q10" s="295">
        <f t="shared" si="0"/>
        <v>1677</v>
      </c>
      <c r="R10" s="295">
        <v>51466.7</v>
      </c>
      <c r="S10" s="295">
        <v>15317.8</v>
      </c>
      <c r="T10" s="295">
        <v>1677</v>
      </c>
      <c r="U10" s="10">
        <f t="shared" ref="U10:W11" si="1">R10-O10</f>
        <v>33.700000000000003</v>
      </c>
      <c r="V10" s="10">
        <f t="shared" si="1"/>
        <v>46</v>
      </c>
      <c r="W10" s="10">
        <f t="shared" si="1"/>
        <v>0</v>
      </c>
    </row>
    <row r="11" spans="1:23" s="13" customFormat="1" x14ac:dyDescent="0.25">
      <c r="A11" s="273" t="s">
        <v>133</v>
      </c>
      <c r="B11" s="9" t="e">
        <f>#REF!</f>
        <v>#REF!</v>
      </c>
      <c r="C11" s="10" t="e">
        <f>#REF!</f>
        <v>#REF!</v>
      </c>
      <c r="D11" s="10" t="e">
        <f>#REF!</f>
        <v>#REF!</v>
      </c>
      <c r="E11" s="10">
        <v>3224</v>
      </c>
      <c r="F11" s="10" t="e">
        <f>#REF!</f>
        <v>#REF!</v>
      </c>
      <c r="G11" s="10" t="e">
        <f>#REF!</f>
        <v>#REF!</v>
      </c>
      <c r="H11" s="10"/>
      <c r="I11" s="295" t="e">
        <f>#REF!</f>
        <v>#REF!</v>
      </c>
      <c r="J11" s="295" t="e">
        <f>#REF!</f>
        <v>#REF!</v>
      </c>
      <c r="K11" s="295" t="e">
        <f>#REF!</f>
        <v>#REF!</v>
      </c>
      <c r="L11" s="295">
        <v>24676.400000000001</v>
      </c>
      <c r="M11" s="295">
        <v>7431.5</v>
      </c>
      <c r="N11" s="295"/>
      <c r="O11" s="295" t="e">
        <f t="shared" si="0"/>
        <v>#REF!</v>
      </c>
      <c r="P11" s="295" t="e">
        <f t="shared" si="0"/>
        <v>#REF!</v>
      </c>
      <c r="Q11" s="295" t="e">
        <f t="shared" si="0"/>
        <v>#REF!</v>
      </c>
      <c r="R11" s="295">
        <v>104789.4</v>
      </c>
      <c r="S11" s="295">
        <v>31487.5</v>
      </c>
      <c r="T11" s="295">
        <v>4140.5</v>
      </c>
      <c r="U11" s="10" t="e">
        <f t="shared" si="1"/>
        <v>#REF!</v>
      </c>
      <c r="V11" s="10" t="e">
        <f t="shared" si="1"/>
        <v>#REF!</v>
      </c>
      <c r="W11" s="10" t="e">
        <f t="shared" si="1"/>
        <v>#REF!</v>
      </c>
    </row>
    <row r="12" spans="1:23" s="13" customFormat="1" x14ac:dyDescent="0.25">
      <c r="A12" s="273" t="s">
        <v>112</v>
      </c>
      <c r="B12" s="8">
        <f>'Родина 2020'!C21</f>
        <v>15.5</v>
      </c>
      <c r="C12" s="10">
        <f>'Родина 2020'!G28</f>
        <v>8874.7000000000007</v>
      </c>
      <c r="D12" s="10">
        <f>'Родина 2020'!H28</f>
        <v>2640.7</v>
      </c>
      <c r="E12" s="10">
        <v>546</v>
      </c>
      <c r="F12" s="10"/>
      <c r="G12" s="10"/>
      <c r="H12" s="10"/>
      <c r="I12" s="295">
        <f>'Родина 2020'!V21</f>
        <v>8874.7000000000007</v>
      </c>
      <c r="J12" s="295">
        <f>'Родина 2020'!W21</f>
        <v>2635.8</v>
      </c>
      <c r="K12" s="295">
        <f>'Родина 2020'!AH21</f>
        <v>253.5</v>
      </c>
      <c r="L12" s="295">
        <v>2722.1</v>
      </c>
      <c r="M12" s="295">
        <v>816</v>
      </c>
      <c r="N12" s="295"/>
      <c r="O12" s="295">
        <f t="shared" si="0"/>
        <v>11596.8</v>
      </c>
      <c r="P12" s="295">
        <f t="shared" si="0"/>
        <v>3451.8</v>
      </c>
      <c r="Q12" s="295">
        <f t="shared" si="0"/>
        <v>253.5</v>
      </c>
      <c r="R12" s="1524">
        <v>114402.6</v>
      </c>
      <c r="S12" s="1524">
        <v>33648.800000000003</v>
      </c>
      <c r="T12" s="1524">
        <v>2996.5</v>
      </c>
      <c r="U12" s="1527">
        <f>R12-O12-O13-O14-O15</f>
        <v>-133</v>
      </c>
      <c r="V12" s="1527">
        <f>S12-P12-P13-P14-P15</f>
        <v>-94.1</v>
      </c>
      <c r="W12" s="1527">
        <f>T12-Q12-Q13-Q14-Q15</f>
        <v>0</v>
      </c>
    </row>
    <row r="13" spans="1:23" s="13" customFormat="1" x14ac:dyDescent="0.25">
      <c r="A13" s="273" t="s">
        <v>113</v>
      </c>
      <c r="B13" s="9">
        <f>'ГЦК+Энергия 2020'!C52</f>
        <v>59.75</v>
      </c>
      <c r="C13" s="10">
        <f>'ГЦК+Энергия 2020'!G57</f>
        <v>46179.199999999997</v>
      </c>
      <c r="D13" s="10">
        <f>'ГЦК+Энергия 2020'!H57</f>
        <v>13446.9</v>
      </c>
      <c r="E13" s="10">
        <v>1351.3</v>
      </c>
      <c r="F13" s="10">
        <f>'ГЦК+Энергия 2020'!I57</f>
        <v>678.3</v>
      </c>
      <c r="G13" s="10">
        <f>'ГЦК+Энергия 2020'!J57</f>
        <v>204.8</v>
      </c>
      <c r="H13" s="10"/>
      <c r="I13" s="295">
        <f>'ГЦК+Энергия 2020'!V52</f>
        <v>45500.9</v>
      </c>
      <c r="J13" s="295">
        <f>'ГЦК+Энергия 2020'!W52</f>
        <v>13348.7</v>
      </c>
      <c r="K13" s="295">
        <f>'ГЦК+Энергия 2020'!AH52</f>
        <v>1924</v>
      </c>
      <c r="L13" s="295">
        <v>14164.1</v>
      </c>
      <c r="M13" s="295">
        <v>4215.2</v>
      </c>
      <c r="N13" s="295"/>
      <c r="O13" s="295">
        <f t="shared" si="0"/>
        <v>59665</v>
      </c>
      <c r="P13" s="295">
        <f t="shared" si="0"/>
        <v>17563.900000000001</v>
      </c>
      <c r="Q13" s="295">
        <f t="shared" si="0"/>
        <v>1924</v>
      </c>
      <c r="R13" s="1525"/>
      <c r="S13" s="1525"/>
      <c r="T13" s="1525"/>
      <c r="U13" s="1528"/>
      <c r="V13" s="1528"/>
      <c r="W13" s="1528"/>
    </row>
    <row r="14" spans="1:23" s="13" customFormat="1" ht="19.5" customHeight="1" x14ac:dyDescent="0.25">
      <c r="A14" s="273" t="s">
        <v>114</v>
      </c>
      <c r="B14" s="9">
        <f>'Юбилейный 2020'!C25</f>
        <v>19</v>
      </c>
      <c r="C14" s="10">
        <f>'Юбилейный 2020'!G31</f>
        <v>14722.5</v>
      </c>
      <c r="D14" s="10">
        <f>'Юбилейный 2020'!H31</f>
        <v>4245.1000000000004</v>
      </c>
      <c r="E14" s="10">
        <v>429</v>
      </c>
      <c r="F14" s="10"/>
      <c r="G14" s="10"/>
      <c r="H14" s="10"/>
      <c r="I14" s="295">
        <f>'Юбилейный 2020'!V25</f>
        <v>14722.5</v>
      </c>
      <c r="J14" s="295">
        <f>'Юбилейный 2020'!W25</f>
        <v>4305.6000000000004</v>
      </c>
      <c r="K14" s="295">
        <f>'Юбилейный 2020'!AH25</f>
        <v>370.5</v>
      </c>
      <c r="L14" s="295">
        <v>4515.6000000000004</v>
      </c>
      <c r="M14" s="295">
        <v>1337.9</v>
      </c>
      <c r="N14" s="295"/>
      <c r="O14" s="295">
        <f t="shared" si="0"/>
        <v>19238.099999999999</v>
      </c>
      <c r="P14" s="295">
        <f t="shared" si="0"/>
        <v>5643.5</v>
      </c>
      <c r="Q14" s="295">
        <f t="shared" si="0"/>
        <v>370.5</v>
      </c>
      <c r="R14" s="1525"/>
      <c r="S14" s="1525"/>
      <c r="T14" s="1525"/>
      <c r="U14" s="1528"/>
      <c r="V14" s="1528"/>
      <c r="W14" s="1528"/>
    </row>
    <row r="15" spans="1:23" s="13" customFormat="1" ht="32.25" customHeight="1" x14ac:dyDescent="0.25">
      <c r="A15" s="273" t="s">
        <v>115</v>
      </c>
      <c r="B15" s="9">
        <f>'Высоцкий 2020'!C28</f>
        <v>25</v>
      </c>
      <c r="C15" s="10">
        <f>'Высоцкий 2020'!G33</f>
        <v>18394</v>
      </c>
      <c r="D15" s="10">
        <f>'Высоцкий 2020'!H33</f>
        <v>5393.9</v>
      </c>
      <c r="E15" s="10">
        <v>799.5</v>
      </c>
      <c r="F15" s="10"/>
      <c r="G15" s="10"/>
      <c r="H15" s="10"/>
      <c r="I15" s="295">
        <f>'Высоцкий 2020'!V28</f>
        <v>18394</v>
      </c>
      <c r="J15" s="295">
        <f>'Высоцкий 2020'!W28</f>
        <v>5400.8</v>
      </c>
      <c r="K15" s="295">
        <f>'Высоцкий 2020'!AH28</f>
        <v>448.5</v>
      </c>
      <c r="L15" s="295">
        <v>5641.7</v>
      </c>
      <c r="M15" s="295">
        <v>1682.9</v>
      </c>
      <c r="N15" s="295"/>
      <c r="O15" s="295">
        <f t="shared" si="0"/>
        <v>24035.7</v>
      </c>
      <c r="P15" s="295">
        <f t="shared" si="0"/>
        <v>7083.7</v>
      </c>
      <c r="Q15" s="295">
        <f t="shared" si="0"/>
        <v>448.5</v>
      </c>
      <c r="R15" s="1526"/>
      <c r="S15" s="1526"/>
      <c r="T15" s="1526"/>
      <c r="U15" s="1529"/>
      <c r="V15" s="1529"/>
      <c r="W15" s="1529"/>
    </row>
    <row r="16" spans="1:23" x14ac:dyDescent="0.25">
      <c r="A16" s="16" t="s">
        <v>99</v>
      </c>
      <c r="B16" s="17" t="e">
        <f t="shared" ref="B16:W16" si="2">SUM(B10:B15)</f>
        <v>#REF!</v>
      </c>
      <c r="C16" s="18" t="e">
        <f t="shared" si="2"/>
        <v>#REF!</v>
      </c>
      <c r="D16" s="18" t="e">
        <f t="shared" si="2"/>
        <v>#REF!</v>
      </c>
      <c r="E16" s="18">
        <f t="shared" si="2"/>
        <v>7246.8</v>
      </c>
      <c r="F16" s="18" t="e">
        <f t="shared" si="2"/>
        <v>#REF!</v>
      </c>
      <c r="G16" s="18" t="e">
        <f t="shared" si="2"/>
        <v>#REF!</v>
      </c>
      <c r="H16" s="18">
        <f t="shared" si="2"/>
        <v>0</v>
      </c>
      <c r="I16" s="18" t="e">
        <f t="shared" si="2"/>
        <v>#REF!</v>
      </c>
      <c r="J16" s="18" t="e">
        <f t="shared" si="2"/>
        <v>#REF!</v>
      </c>
      <c r="K16" s="18" t="e">
        <f t="shared" si="2"/>
        <v>#REF!</v>
      </c>
      <c r="L16" s="18">
        <f t="shared" si="2"/>
        <v>63792.5</v>
      </c>
      <c r="M16" s="18">
        <f t="shared" si="2"/>
        <v>19100.7</v>
      </c>
      <c r="N16" s="18">
        <f t="shared" si="2"/>
        <v>0</v>
      </c>
      <c r="O16" s="18" t="e">
        <f t="shared" si="2"/>
        <v>#REF!</v>
      </c>
      <c r="P16" s="18" t="e">
        <f t="shared" si="2"/>
        <v>#REF!</v>
      </c>
      <c r="Q16" s="18" t="e">
        <f t="shared" si="2"/>
        <v>#REF!</v>
      </c>
      <c r="R16" s="18">
        <f t="shared" si="2"/>
        <v>270658.7</v>
      </c>
      <c r="S16" s="18">
        <f t="shared" si="2"/>
        <v>80454.100000000006</v>
      </c>
      <c r="T16" s="18">
        <f t="shared" si="2"/>
        <v>8814</v>
      </c>
      <c r="U16" s="18" t="e">
        <f t="shared" si="2"/>
        <v>#REF!</v>
      </c>
      <c r="V16" s="18" t="e">
        <f t="shared" si="2"/>
        <v>#REF!</v>
      </c>
      <c r="W16" s="18" t="e">
        <f t="shared" si="2"/>
        <v>#REF!</v>
      </c>
    </row>
    <row r="17" spans="1:23" x14ac:dyDescent="0.25">
      <c r="C17" s="11"/>
      <c r="D17" s="11"/>
      <c r="E17" s="12"/>
      <c r="F17" s="12"/>
      <c r="G17" s="12"/>
      <c r="H17" s="12"/>
      <c r="I17" s="12"/>
      <c r="J17" s="12"/>
      <c r="K17" s="12"/>
      <c r="L17" s="12"/>
      <c r="M17" s="12"/>
      <c r="N17" s="12"/>
      <c r="O17" s="12"/>
      <c r="P17" s="12"/>
      <c r="Q17" s="12"/>
      <c r="R17" s="12"/>
      <c r="S17" s="12"/>
      <c r="T17" s="12"/>
    </row>
    <row r="18" spans="1:23" x14ac:dyDescent="0.25">
      <c r="U18" s="1513" t="s">
        <v>171</v>
      </c>
      <c r="V18" s="1513"/>
      <c r="W18" s="1513"/>
    </row>
    <row r="19" spans="1:23" s="20" customFormat="1" ht="21" x14ac:dyDescent="0.4">
      <c r="A19" s="1" t="s">
        <v>138</v>
      </c>
      <c r="C19" s="2"/>
      <c r="D19" s="6" t="s">
        <v>166</v>
      </c>
      <c r="E19" s="3"/>
      <c r="F19" s="4"/>
      <c r="G19" s="4"/>
      <c r="H19" s="5"/>
      <c r="I19" s="5"/>
      <c r="J19" s="4"/>
    </row>
    <row r="21" spans="1:23" x14ac:dyDescent="0.25">
      <c r="A21" s="7" t="s">
        <v>151</v>
      </c>
    </row>
    <row r="22" spans="1:23" s="11" customFormat="1" x14ac:dyDescent="0.25">
      <c r="D22" s="11" t="e">
        <f>D16-G16</f>
        <v>#REF!</v>
      </c>
      <c r="E22" s="12"/>
      <c r="F22" s="12"/>
      <c r="G22" s="12"/>
      <c r="H22" s="12"/>
      <c r="I22" s="12"/>
      <c r="J22" s="12"/>
      <c r="K22" s="12"/>
      <c r="L22" s="12"/>
      <c r="M22" s="12"/>
      <c r="N22" s="12"/>
      <c r="O22" s="12"/>
      <c r="P22" s="12"/>
      <c r="Q22" s="12"/>
      <c r="R22" s="12"/>
      <c r="S22" s="12"/>
      <c r="T22" s="12"/>
    </row>
    <row r="23" spans="1:23" s="11" customFormat="1" x14ac:dyDescent="0.25">
      <c r="E23" s="12"/>
      <c r="F23" s="12"/>
      <c r="G23" s="12"/>
      <c r="H23" s="12"/>
      <c r="I23" s="12"/>
      <c r="J23" s="12"/>
      <c r="K23" s="12"/>
      <c r="L23" s="12"/>
      <c r="M23" s="12"/>
      <c r="N23" s="12"/>
      <c r="O23" s="12"/>
      <c r="P23" s="12"/>
      <c r="Q23" s="12"/>
      <c r="R23" s="12"/>
      <c r="S23" s="12"/>
      <c r="T23" s="12"/>
    </row>
    <row r="24" spans="1:23" s="11" customFormat="1" x14ac:dyDescent="0.25">
      <c r="E24" s="12"/>
      <c r="F24" s="12"/>
      <c r="G24" s="12"/>
      <c r="H24" s="12"/>
      <c r="I24" s="12"/>
      <c r="J24" s="12"/>
      <c r="K24" s="12"/>
      <c r="L24" s="12"/>
      <c r="M24" s="12"/>
      <c r="N24" s="12"/>
      <c r="O24" s="12"/>
      <c r="P24" s="12"/>
      <c r="Q24" s="12"/>
      <c r="R24" s="12"/>
      <c r="S24" s="12"/>
      <c r="T24" s="12"/>
    </row>
    <row r="25" spans="1:23" s="11" customFormat="1" x14ac:dyDescent="0.25">
      <c r="E25" s="12"/>
      <c r="F25" s="12"/>
      <c r="G25" s="12"/>
      <c r="H25" s="12"/>
      <c r="I25" s="12"/>
      <c r="J25" s="12"/>
      <c r="K25" s="12"/>
      <c r="L25" s="12"/>
      <c r="M25" s="12"/>
      <c r="N25" s="12"/>
      <c r="O25" s="12"/>
      <c r="P25" s="12"/>
      <c r="Q25" s="12"/>
      <c r="R25" s="12"/>
      <c r="S25" s="12"/>
      <c r="T25" s="12"/>
    </row>
    <row r="26" spans="1:23" s="11" customFormat="1" x14ac:dyDescent="0.25">
      <c r="E26" s="12"/>
      <c r="F26" s="12"/>
      <c r="G26" s="12"/>
      <c r="H26" s="12"/>
      <c r="I26" s="12"/>
      <c r="J26" s="12"/>
      <c r="K26" s="12"/>
      <c r="L26" s="12"/>
      <c r="M26" s="12"/>
      <c r="N26" s="12"/>
      <c r="O26" s="12"/>
      <c r="P26" s="12"/>
      <c r="Q26" s="12"/>
      <c r="R26" s="12"/>
      <c r="S26" s="12"/>
      <c r="T26" s="12"/>
    </row>
    <row r="27" spans="1:23" s="11" customFormat="1" x14ac:dyDescent="0.25">
      <c r="E27" s="12"/>
      <c r="F27" s="12"/>
      <c r="G27" s="12"/>
      <c r="H27" s="12"/>
      <c r="I27" s="12"/>
      <c r="J27" s="12"/>
      <c r="K27" s="12"/>
      <c r="L27" s="12"/>
      <c r="M27" s="12"/>
      <c r="N27" s="12"/>
      <c r="O27" s="12"/>
      <c r="P27" s="12"/>
      <c r="Q27" s="12"/>
      <c r="R27" s="12"/>
      <c r="S27" s="12"/>
      <c r="T27" s="12"/>
    </row>
    <row r="28" spans="1:23" s="11" customFormat="1" x14ac:dyDescent="0.25">
      <c r="E28" s="12"/>
      <c r="F28" s="12"/>
      <c r="G28" s="12"/>
      <c r="H28" s="12"/>
      <c r="I28" s="12"/>
      <c r="J28" s="12"/>
      <c r="K28" s="12"/>
      <c r="L28" s="12"/>
      <c r="M28" s="12"/>
      <c r="N28" s="12"/>
      <c r="O28" s="12"/>
      <c r="P28" s="12"/>
      <c r="Q28" s="12"/>
      <c r="R28" s="12"/>
      <c r="S28" s="12"/>
      <c r="T28" s="12"/>
    </row>
    <row r="29" spans="1:23" s="11" customFormat="1" x14ac:dyDescent="0.25">
      <c r="E29" s="12"/>
      <c r="F29" s="12"/>
      <c r="G29" s="12"/>
      <c r="H29" s="12"/>
      <c r="I29" s="12"/>
      <c r="J29" s="12"/>
      <c r="K29" s="12"/>
      <c r="L29" s="12"/>
      <c r="M29" s="12"/>
      <c r="N29" s="12"/>
      <c r="O29" s="12"/>
      <c r="P29" s="12"/>
      <c r="Q29" s="12"/>
      <c r="R29" s="12"/>
      <c r="S29" s="12"/>
      <c r="T29" s="12"/>
    </row>
    <row r="30" spans="1:23" s="11" customFormat="1" x14ac:dyDescent="0.25">
      <c r="E30" s="12"/>
      <c r="F30" s="12"/>
      <c r="G30" s="12"/>
      <c r="H30" s="12"/>
      <c r="I30" s="12"/>
      <c r="J30" s="12"/>
      <c r="K30" s="12"/>
      <c r="L30" s="12"/>
      <c r="M30" s="12"/>
      <c r="N30" s="12"/>
      <c r="O30" s="12"/>
      <c r="P30" s="12"/>
      <c r="Q30" s="12"/>
      <c r="R30" s="12"/>
      <c r="S30" s="12"/>
      <c r="T30" s="12"/>
    </row>
    <row r="31" spans="1:23" s="11" customFormat="1" x14ac:dyDescent="0.25">
      <c r="E31" s="12"/>
      <c r="F31" s="12"/>
      <c r="G31" s="12"/>
      <c r="H31" s="12"/>
      <c r="I31" s="12"/>
      <c r="J31" s="12"/>
      <c r="K31" s="12"/>
      <c r="L31" s="12"/>
      <c r="M31" s="12"/>
      <c r="N31" s="12"/>
      <c r="O31" s="12"/>
      <c r="P31" s="12"/>
      <c r="Q31" s="12"/>
      <c r="R31" s="12"/>
      <c r="S31" s="12"/>
      <c r="T31" s="12"/>
    </row>
    <row r="32" spans="1:23" s="11" customFormat="1" x14ac:dyDescent="0.25">
      <c r="E32" s="12"/>
      <c r="F32" s="12"/>
      <c r="G32" s="12"/>
      <c r="H32" s="12"/>
      <c r="I32" s="12"/>
      <c r="J32" s="12"/>
      <c r="K32" s="12"/>
      <c r="L32" s="12"/>
      <c r="M32" s="12"/>
      <c r="N32" s="12"/>
      <c r="O32" s="12"/>
      <c r="P32" s="12"/>
      <c r="Q32" s="12"/>
      <c r="R32" s="12"/>
      <c r="S32" s="12"/>
      <c r="T32" s="12"/>
    </row>
    <row r="33" spans="5:20" s="11" customFormat="1" x14ac:dyDescent="0.25">
      <c r="E33" s="12"/>
      <c r="F33" s="12"/>
      <c r="G33" s="12"/>
      <c r="H33" s="12"/>
      <c r="I33" s="12"/>
      <c r="J33" s="12"/>
      <c r="K33" s="12"/>
      <c r="L33" s="12"/>
      <c r="M33" s="12"/>
      <c r="N33" s="12"/>
      <c r="O33" s="12"/>
      <c r="P33" s="12"/>
      <c r="Q33" s="12"/>
      <c r="R33" s="12"/>
      <c r="S33" s="12"/>
      <c r="T33" s="12"/>
    </row>
    <row r="34" spans="5:20" s="11" customFormat="1" x14ac:dyDescent="0.25">
      <c r="E34" s="12"/>
      <c r="F34" s="12"/>
      <c r="G34" s="12"/>
      <c r="H34" s="12"/>
      <c r="I34" s="12"/>
      <c r="J34" s="12"/>
      <c r="K34" s="12"/>
      <c r="L34" s="12"/>
      <c r="M34" s="12"/>
      <c r="N34" s="12"/>
      <c r="O34" s="12"/>
      <c r="P34" s="12"/>
      <c r="Q34" s="12"/>
      <c r="R34" s="12"/>
      <c r="S34" s="12"/>
      <c r="T34" s="12"/>
    </row>
    <row r="35" spans="5:20" s="11" customFormat="1" x14ac:dyDescent="0.25">
      <c r="E35" s="12"/>
      <c r="F35" s="12"/>
      <c r="G35" s="12"/>
      <c r="H35" s="12"/>
      <c r="I35" s="12"/>
      <c r="J35" s="12"/>
      <c r="K35" s="12"/>
      <c r="L35" s="12"/>
      <c r="M35" s="12"/>
      <c r="N35" s="12"/>
      <c r="O35" s="12"/>
      <c r="P35" s="12"/>
      <c r="Q35" s="12"/>
      <c r="R35" s="12"/>
      <c r="S35" s="12"/>
      <c r="T35" s="12"/>
    </row>
    <row r="36" spans="5:20" s="11" customFormat="1" x14ac:dyDescent="0.25">
      <c r="E36" s="12"/>
      <c r="F36" s="12"/>
      <c r="G36" s="12"/>
      <c r="H36" s="12"/>
      <c r="I36" s="12"/>
      <c r="J36" s="12"/>
      <c r="K36" s="12"/>
      <c r="L36" s="12"/>
      <c r="M36" s="12"/>
      <c r="N36" s="12"/>
      <c r="O36" s="12"/>
      <c r="P36" s="12"/>
      <c r="Q36" s="12"/>
      <c r="R36" s="12"/>
      <c r="S36" s="12"/>
      <c r="T36" s="12"/>
    </row>
    <row r="37" spans="5:20" s="11" customFormat="1" x14ac:dyDescent="0.25">
      <c r="E37" s="12"/>
      <c r="F37" s="12"/>
      <c r="G37" s="12"/>
      <c r="H37" s="12"/>
      <c r="I37" s="12"/>
      <c r="J37" s="12"/>
      <c r="K37" s="12"/>
      <c r="L37" s="12"/>
      <c r="M37" s="12"/>
      <c r="N37" s="12"/>
      <c r="O37" s="12"/>
      <c r="P37" s="12"/>
      <c r="Q37" s="12"/>
      <c r="R37" s="12"/>
      <c r="S37" s="12"/>
      <c r="T37" s="12"/>
    </row>
    <row r="38" spans="5:20" s="11" customFormat="1" x14ac:dyDescent="0.25">
      <c r="E38" s="12"/>
      <c r="F38" s="12"/>
      <c r="G38" s="12"/>
      <c r="H38" s="12"/>
      <c r="I38" s="12"/>
      <c r="J38" s="12"/>
      <c r="K38" s="12"/>
      <c r="L38" s="12"/>
      <c r="M38" s="12"/>
      <c r="N38" s="12"/>
      <c r="O38" s="12"/>
      <c r="P38" s="12"/>
      <c r="Q38" s="12"/>
      <c r="R38" s="12"/>
      <c r="S38" s="12"/>
      <c r="T38" s="12"/>
    </row>
    <row r="39" spans="5:20" s="11" customFormat="1" x14ac:dyDescent="0.25">
      <c r="E39" s="12"/>
      <c r="F39" s="12"/>
      <c r="G39" s="12"/>
      <c r="H39" s="12"/>
      <c r="I39" s="12"/>
      <c r="J39" s="12"/>
      <c r="K39" s="12"/>
      <c r="L39" s="12"/>
      <c r="M39" s="12"/>
      <c r="N39" s="12"/>
      <c r="O39" s="12"/>
      <c r="P39" s="12"/>
      <c r="Q39" s="12"/>
      <c r="R39" s="12"/>
      <c r="S39" s="12"/>
      <c r="T39" s="12"/>
    </row>
    <row r="40" spans="5:20" s="11" customFormat="1" x14ac:dyDescent="0.25">
      <c r="E40" s="12"/>
      <c r="F40" s="12"/>
      <c r="G40" s="12"/>
      <c r="H40" s="12"/>
      <c r="I40" s="12"/>
      <c r="J40" s="12"/>
      <c r="K40" s="12"/>
      <c r="L40" s="12"/>
      <c r="M40" s="12"/>
      <c r="N40" s="12"/>
      <c r="O40" s="12"/>
      <c r="P40" s="12"/>
      <c r="Q40" s="12"/>
      <c r="R40" s="12"/>
      <c r="S40" s="12"/>
      <c r="T40" s="12"/>
    </row>
    <row r="41" spans="5:20" s="11" customFormat="1" x14ac:dyDescent="0.25">
      <c r="E41" s="12"/>
      <c r="F41" s="12"/>
      <c r="G41" s="12"/>
      <c r="H41" s="12"/>
      <c r="I41" s="12"/>
      <c r="J41" s="12"/>
      <c r="K41" s="12"/>
      <c r="L41" s="12"/>
      <c r="M41" s="12"/>
      <c r="N41" s="12"/>
      <c r="O41" s="12"/>
      <c r="P41" s="12"/>
      <c r="Q41" s="12"/>
      <c r="R41" s="12"/>
      <c r="S41" s="12"/>
      <c r="T41" s="12"/>
    </row>
    <row r="42" spans="5:20" s="11" customFormat="1" x14ac:dyDescent="0.25">
      <c r="E42" s="12"/>
      <c r="F42" s="12"/>
      <c r="G42" s="12"/>
      <c r="H42" s="12"/>
      <c r="I42" s="12"/>
      <c r="J42" s="12"/>
      <c r="K42" s="12"/>
      <c r="L42" s="12"/>
      <c r="M42" s="12"/>
      <c r="N42" s="12"/>
      <c r="O42" s="12"/>
      <c r="P42" s="12"/>
      <c r="Q42" s="12"/>
      <c r="R42" s="12"/>
      <c r="S42" s="12"/>
      <c r="T42" s="12"/>
    </row>
    <row r="43" spans="5:20" s="11" customFormat="1" x14ac:dyDescent="0.25">
      <c r="E43" s="12"/>
      <c r="F43" s="12"/>
      <c r="G43" s="12"/>
      <c r="H43" s="12"/>
      <c r="I43" s="12"/>
      <c r="J43" s="12"/>
      <c r="K43" s="12"/>
      <c r="L43" s="12"/>
      <c r="M43" s="12"/>
      <c r="N43" s="12"/>
      <c r="O43" s="12"/>
      <c r="P43" s="12"/>
      <c r="Q43" s="12"/>
      <c r="R43" s="12"/>
      <c r="S43" s="12"/>
      <c r="T43" s="12"/>
    </row>
    <row r="44" spans="5:20" s="11" customFormat="1" x14ac:dyDescent="0.25">
      <c r="E44" s="12"/>
      <c r="F44" s="12"/>
      <c r="G44" s="12"/>
      <c r="H44" s="12"/>
      <c r="I44" s="12"/>
      <c r="J44" s="12"/>
      <c r="K44" s="12"/>
      <c r="L44" s="12"/>
      <c r="M44" s="12"/>
      <c r="N44" s="12"/>
      <c r="O44" s="12"/>
      <c r="P44" s="12"/>
      <c r="Q44" s="12"/>
      <c r="R44" s="12"/>
      <c r="S44" s="12"/>
      <c r="T44" s="12"/>
    </row>
    <row r="45" spans="5:20" s="11" customFormat="1" x14ac:dyDescent="0.25">
      <c r="E45" s="12"/>
      <c r="F45" s="12"/>
      <c r="G45" s="12"/>
      <c r="H45" s="12"/>
      <c r="I45" s="12"/>
      <c r="J45" s="12"/>
      <c r="K45" s="12"/>
      <c r="L45" s="12"/>
      <c r="M45" s="12"/>
      <c r="N45" s="12"/>
      <c r="O45" s="12"/>
      <c r="P45" s="12"/>
      <c r="Q45" s="12"/>
      <c r="R45" s="12"/>
      <c r="S45" s="12"/>
      <c r="T45" s="12"/>
    </row>
    <row r="46" spans="5:20" s="11" customFormat="1" x14ac:dyDescent="0.25">
      <c r="E46" s="12"/>
      <c r="F46" s="12"/>
      <c r="G46" s="12"/>
      <c r="H46" s="12"/>
      <c r="I46" s="12"/>
      <c r="J46" s="12"/>
      <c r="K46" s="12"/>
      <c r="L46" s="12"/>
      <c r="M46" s="12"/>
      <c r="N46" s="12"/>
      <c r="O46" s="12"/>
      <c r="P46" s="12"/>
      <c r="Q46" s="12"/>
      <c r="R46" s="12"/>
      <c r="S46" s="12"/>
      <c r="T46" s="12"/>
    </row>
  </sheetData>
  <mergeCells count="18">
    <mergeCell ref="U18:W18"/>
    <mergeCell ref="L8:N8"/>
    <mergeCell ref="O8:Q8"/>
    <mergeCell ref="R8:T8"/>
    <mergeCell ref="R12:R15"/>
    <mergeCell ref="S12:S15"/>
    <mergeCell ref="T12:T15"/>
    <mergeCell ref="U12:U15"/>
    <mergeCell ref="V12:V15"/>
    <mergeCell ref="W12:W15"/>
    <mergeCell ref="A2:W2"/>
    <mergeCell ref="A4:W4"/>
    <mergeCell ref="A8:A9"/>
    <mergeCell ref="B8:B9"/>
    <mergeCell ref="C8:E8"/>
    <mergeCell ref="F8:H8"/>
    <mergeCell ref="I8:K8"/>
    <mergeCell ref="U8:W8"/>
  </mergeCells>
  <pageMargins left="0.19685039370078741" right="0.19685039370078741" top="0.74803149606299213" bottom="0.74803149606299213" header="0.31496062992125984" footer="0.31496062992125984"/>
  <pageSetup paperSize="9" scale="4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17"/>
  <sheetViews>
    <sheetView view="pageBreakPreview" zoomScaleNormal="70" zoomScaleSheetLayoutView="100" workbookViewId="0">
      <selection activeCell="F25" sqref="F25"/>
    </sheetView>
  </sheetViews>
  <sheetFormatPr defaultColWidth="10.6640625" defaultRowHeight="13.8" x14ac:dyDescent="0.25"/>
  <cols>
    <col min="1" max="1" width="23.44140625" style="301" customWidth="1"/>
    <col min="2" max="2" width="11.33203125" style="331" customWidth="1"/>
    <col min="3" max="3" width="18.44140625" style="301" customWidth="1"/>
    <col min="4" max="4" width="21.44140625" style="301" customWidth="1"/>
    <col min="5" max="5" width="17" style="301" customWidth="1"/>
    <col min="6" max="6" width="21.44140625" style="301" customWidth="1"/>
    <col min="7" max="7" width="17.77734375" style="301" customWidth="1"/>
    <col min="8" max="11" width="18.109375" style="301" customWidth="1"/>
    <col min="12" max="12" width="20.77734375" style="301" customWidth="1"/>
    <col min="13" max="15" width="18.109375" style="301" customWidth="1"/>
    <col min="16" max="16" width="23.77734375" style="301" customWidth="1"/>
    <col min="17" max="16384" width="10.6640625" style="301"/>
  </cols>
  <sheetData>
    <row r="1" spans="1:16" ht="33" customHeight="1" x14ac:dyDescent="0.25">
      <c r="A1" s="1704" t="s">
        <v>415</v>
      </c>
      <c r="B1" s="1704"/>
      <c r="C1" s="1704"/>
      <c r="D1" s="1704"/>
      <c r="E1" s="1704"/>
      <c r="F1" s="1704"/>
      <c r="G1" s="1704"/>
      <c r="H1" s="1704"/>
      <c r="I1" s="1704"/>
      <c r="J1" s="1704"/>
      <c r="K1" s="1704"/>
      <c r="L1" s="334"/>
      <c r="M1" s="334"/>
      <c r="N1" s="334"/>
      <c r="O1" s="334"/>
    </row>
    <row r="3" spans="1:16" s="320" customFormat="1" ht="28.5" customHeight="1" x14ac:dyDescent="0.25">
      <c r="A3" s="1703" t="s">
        <v>416</v>
      </c>
      <c r="B3" s="1706" t="s">
        <v>184</v>
      </c>
      <c r="C3" s="1703" t="s">
        <v>417</v>
      </c>
      <c r="D3" s="1703"/>
      <c r="E3" s="1703"/>
      <c r="F3" s="1703" t="s">
        <v>418</v>
      </c>
      <c r="G3" s="1703"/>
      <c r="H3" s="1703"/>
      <c r="I3" s="1703" t="s">
        <v>258</v>
      </c>
      <c r="J3" s="1703"/>
      <c r="K3" s="1703"/>
      <c r="L3" s="1705"/>
      <c r="M3" s="319"/>
      <c r="N3" s="319"/>
      <c r="O3" s="319"/>
      <c r="P3" s="1705"/>
    </row>
    <row r="4" spans="1:16" s="322" customFormat="1" x14ac:dyDescent="0.25">
      <c r="A4" s="1703"/>
      <c r="B4" s="1706"/>
      <c r="C4" s="329" t="s">
        <v>194</v>
      </c>
      <c r="D4" s="329" t="s">
        <v>368</v>
      </c>
      <c r="E4" s="329" t="s">
        <v>393</v>
      </c>
      <c r="F4" s="329" t="s">
        <v>194</v>
      </c>
      <c r="G4" s="329" t="s">
        <v>368</v>
      </c>
      <c r="H4" s="329" t="s">
        <v>393</v>
      </c>
      <c r="I4" s="329" t="s">
        <v>194</v>
      </c>
      <c r="J4" s="329" t="s">
        <v>368</v>
      </c>
      <c r="K4" s="329" t="s">
        <v>393</v>
      </c>
      <c r="L4" s="1705"/>
      <c r="M4" s="321"/>
      <c r="N4" s="321"/>
      <c r="O4" s="321"/>
      <c r="P4" s="1705"/>
    </row>
    <row r="5" spans="1:16" s="323" customFormat="1" ht="41.4" x14ac:dyDescent="0.25">
      <c r="A5" s="1703"/>
      <c r="B5" s="1706"/>
      <c r="C5" s="329" t="s">
        <v>186</v>
      </c>
      <c r="D5" s="329" t="s">
        <v>187</v>
      </c>
      <c r="E5" s="329" t="s">
        <v>188</v>
      </c>
      <c r="F5" s="329" t="s">
        <v>186</v>
      </c>
      <c r="G5" s="329" t="s">
        <v>187</v>
      </c>
      <c r="H5" s="329" t="s">
        <v>188</v>
      </c>
      <c r="I5" s="329" t="s">
        <v>186</v>
      </c>
      <c r="J5" s="329" t="s">
        <v>187</v>
      </c>
      <c r="K5" s="329" t="s">
        <v>188</v>
      </c>
      <c r="L5" s="321"/>
      <c r="N5" s="321"/>
    </row>
    <row r="6" spans="1:16" s="322" customFormat="1" ht="14.25" customHeight="1" x14ac:dyDescent="0.25">
      <c r="A6" s="329">
        <v>1</v>
      </c>
      <c r="B6" s="332">
        <v>2</v>
      </c>
      <c r="C6" s="329">
        <v>3</v>
      </c>
      <c r="D6" s="329">
        <v>4</v>
      </c>
      <c r="E6" s="329">
        <v>5</v>
      </c>
      <c r="F6" s="329">
        <v>6</v>
      </c>
      <c r="G6" s="329">
        <v>7</v>
      </c>
      <c r="H6" s="329">
        <v>8</v>
      </c>
      <c r="I6" s="329">
        <v>9</v>
      </c>
      <c r="J6" s="330"/>
      <c r="K6" s="330"/>
      <c r="L6" s="321"/>
      <c r="M6" s="324"/>
      <c r="N6" s="324"/>
      <c r="O6" s="324"/>
    </row>
    <row r="7" spans="1:16" s="325" customFormat="1" ht="14.25" customHeight="1" x14ac:dyDescent="0.3">
      <c r="A7" s="330"/>
      <c r="B7" s="332" t="s">
        <v>292</v>
      </c>
      <c r="C7" s="330"/>
      <c r="D7" s="330"/>
      <c r="E7" s="330"/>
      <c r="F7" s="330"/>
      <c r="G7" s="330"/>
      <c r="H7" s="330"/>
      <c r="I7" s="330">
        <f t="shared" ref="I7:K9" si="0">C7*F7</f>
        <v>0</v>
      </c>
      <c r="J7" s="330">
        <f t="shared" si="0"/>
        <v>0</v>
      </c>
      <c r="K7" s="330">
        <f t="shared" si="0"/>
        <v>0</v>
      </c>
      <c r="L7" s="326"/>
      <c r="M7" s="326"/>
      <c r="N7" s="326"/>
      <c r="O7" s="326"/>
    </row>
    <row r="8" spans="1:16" s="325" customFormat="1" ht="14.25" customHeight="1" x14ac:dyDescent="0.3">
      <c r="A8" s="330"/>
      <c r="B8" s="332" t="s">
        <v>419</v>
      </c>
      <c r="C8" s="330"/>
      <c r="D8" s="330"/>
      <c r="E8" s="330"/>
      <c r="F8" s="330"/>
      <c r="G8" s="330"/>
      <c r="H8" s="330"/>
      <c r="I8" s="330">
        <f t="shared" si="0"/>
        <v>0</v>
      </c>
      <c r="J8" s="330">
        <f t="shared" si="0"/>
        <v>0</v>
      </c>
      <c r="K8" s="330">
        <f t="shared" si="0"/>
        <v>0</v>
      </c>
      <c r="L8" s="326"/>
      <c r="M8" s="326"/>
      <c r="N8" s="326"/>
      <c r="O8" s="326"/>
    </row>
    <row r="9" spans="1:16" s="327" customFormat="1" x14ac:dyDescent="0.25">
      <c r="A9" s="330"/>
      <c r="B9" s="333"/>
      <c r="C9" s="330"/>
      <c r="D9" s="330"/>
      <c r="E9" s="330"/>
      <c r="F9" s="330"/>
      <c r="G9" s="330"/>
      <c r="H9" s="330"/>
      <c r="I9" s="330">
        <f t="shared" si="0"/>
        <v>0</v>
      </c>
      <c r="J9" s="330">
        <f t="shared" si="0"/>
        <v>0</v>
      </c>
      <c r="K9" s="330">
        <f t="shared" si="0"/>
        <v>0</v>
      </c>
      <c r="L9" s="328"/>
      <c r="M9" s="328"/>
      <c r="N9" s="328"/>
      <c r="O9" s="328"/>
      <c r="P9" s="328"/>
    </row>
    <row r="10" spans="1:16" x14ac:dyDescent="0.25">
      <c r="A10" s="330" t="s">
        <v>72</v>
      </c>
      <c r="B10" s="332">
        <v>9000</v>
      </c>
      <c r="C10" s="329">
        <f t="shared" ref="C10:K10" si="1">SUM(C7:C9)</f>
        <v>0</v>
      </c>
      <c r="D10" s="329">
        <f t="shared" si="1"/>
        <v>0</v>
      </c>
      <c r="E10" s="329">
        <f t="shared" si="1"/>
        <v>0</v>
      </c>
      <c r="F10" s="329">
        <f t="shared" si="1"/>
        <v>0</v>
      </c>
      <c r="G10" s="329">
        <f t="shared" si="1"/>
        <v>0</v>
      </c>
      <c r="H10" s="329">
        <f t="shared" si="1"/>
        <v>0</v>
      </c>
      <c r="I10" s="329">
        <f t="shared" si="1"/>
        <v>0</v>
      </c>
      <c r="J10" s="329">
        <f t="shared" si="1"/>
        <v>0</v>
      </c>
      <c r="K10" s="329">
        <f t="shared" si="1"/>
        <v>0</v>
      </c>
    </row>
    <row r="12" spans="1:16" x14ac:dyDescent="0.25">
      <c r="B12" s="331" t="s">
        <v>259</v>
      </c>
    </row>
    <row r="15" spans="1:16" x14ac:dyDescent="0.25">
      <c r="B15" s="331" t="s">
        <v>260</v>
      </c>
    </row>
    <row r="17" spans="8:12" x14ac:dyDescent="0.25">
      <c r="H17" s="307"/>
      <c r="I17" s="307"/>
      <c r="J17" s="307"/>
      <c r="K17" s="307"/>
      <c r="L17" s="307"/>
    </row>
  </sheetData>
  <mergeCells count="8">
    <mergeCell ref="F3:H3"/>
    <mergeCell ref="I3:K3"/>
    <mergeCell ref="A1:K1"/>
    <mergeCell ref="P3:P4"/>
    <mergeCell ref="L3:L4"/>
    <mergeCell ref="A3:A5"/>
    <mergeCell ref="B3:B5"/>
    <mergeCell ref="C3:E3"/>
  </mergeCells>
  <pageMargins left="0.70866141732283472" right="0.70866141732283472" top="0.74803149606299213" bottom="0.74803149606299213" header="0.31496062992125984" footer="0.31496062992125984"/>
  <pageSetup paperSize="9" scale="7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FF"/>
    <pageSetUpPr fitToPage="1"/>
  </sheetPr>
  <dimension ref="A1:K16"/>
  <sheetViews>
    <sheetView view="pageBreakPreview" zoomScale="70" zoomScaleSheetLayoutView="70" workbookViewId="0">
      <selection activeCell="A4" sqref="A4:A5"/>
    </sheetView>
  </sheetViews>
  <sheetFormatPr defaultColWidth="9.33203125" defaultRowHeight="39" customHeight="1" x14ac:dyDescent="0.3"/>
  <cols>
    <col min="1" max="1" width="9.33203125" style="710"/>
    <col min="2" max="2" width="17.6640625" style="710" customWidth="1"/>
    <col min="3" max="3" width="11.109375" style="710" customWidth="1"/>
    <col min="4" max="4" width="21.44140625" style="710" customWidth="1"/>
    <col min="5" max="5" width="23" style="710" customWidth="1"/>
    <col min="6" max="6" width="20.109375" style="710" customWidth="1"/>
    <col min="7" max="7" width="24" style="710" customWidth="1"/>
    <col min="8" max="11" width="14.6640625" style="710" customWidth="1"/>
    <col min="12" max="16384" width="9.33203125" style="710"/>
  </cols>
  <sheetData>
    <row r="1" spans="1:11" ht="15.75" customHeight="1" x14ac:dyDescent="0.3">
      <c r="A1" s="1710" t="s">
        <v>758</v>
      </c>
      <c r="B1" s="1710"/>
      <c r="C1" s="1710"/>
      <c r="D1" s="1710"/>
      <c r="E1" s="1710"/>
      <c r="F1" s="1710"/>
      <c r="G1" s="1710"/>
      <c r="H1" s="1710"/>
      <c r="I1" s="1710"/>
      <c r="J1" s="1710"/>
      <c r="K1" s="1710"/>
    </row>
    <row r="2" spans="1:11" ht="18" customHeight="1" x14ac:dyDescent="0.3">
      <c r="D2" s="711"/>
      <c r="E2" s="711"/>
      <c r="F2" s="711"/>
      <c r="G2" s="711"/>
      <c r="H2" s="711"/>
      <c r="I2" s="711"/>
      <c r="J2" s="711"/>
      <c r="K2" s="711"/>
    </row>
    <row r="3" spans="1:11" ht="17.25" customHeight="1" x14ac:dyDescent="0.3">
      <c r="A3" s="1711" t="s">
        <v>917</v>
      </c>
      <c r="B3" s="1711"/>
      <c r="C3" s="1711"/>
      <c r="D3" s="1711"/>
      <c r="E3" s="1711"/>
      <c r="F3" s="1711"/>
      <c r="G3" s="1711"/>
      <c r="H3" s="1711"/>
      <c r="I3" s="1711"/>
      <c r="J3" s="1711"/>
      <c r="K3" s="1711"/>
    </row>
    <row r="4" spans="1:11" ht="18.75" customHeight="1" x14ac:dyDescent="0.3">
      <c r="A4" s="1712" t="s">
        <v>688</v>
      </c>
      <c r="B4" s="1712" t="s">
        <v>446</v>
      </c>
      <c r="C4" s="1712" t="s">
        <v>332</v>
      </c>
      <c r="D4" s="1613" t="s">
        <v>272</v>
      </c>
      <c r="E4" s="1613" t="s">
        <v>273</v>
      </c>
      <c r="F4" s="1712" t="s">
        <v>274</v>
      </c>
      <c r="G4" s="1712" t="s">
        <v>275</v>
      </c>
      <c r="H4" s="1714" t="s">
        <v>185</v>
      </c>
      <c r="I4" s="1715"/>
      <c r="J4" s="1715"/>
      <c r="K4" s="1716"/>
    </row>
    <row r="5" spans="1:11" ht="25.5" customHeight="1" x14ac:dyDescent="0.3">
      <c r="A5" s="1713"/>
      <c r="B5" s="1713"/>
      <c r="C5" s="1713"/>
      <c r="D5" s="1613"/>
      <c r="E5" s="1613"/>
      <c r="F5" s="1713"/>
      <c r="G5" s="1713"/>
      <c r="H5" s="701" t="s">
        <v>692</v>
      </c>
      <c r="I5" s="717" t="s">
        <v>889</v>
      </c>
      <c r="J5" s="703" t="s">
        <v>842</v>
      </c>
      <c r="K5" s="703" t="s">
        <v>885</v>
      </c>
    </row>
    <row r="6" spans="1:11" ht="15.75" customHeight="1" x14ac:dyDescent="0.3">
      <c r="A6" s="510">
        <v>1</v>
      </c>
      <c r="B6" s="510">
        <v>2</v>
      </c>
      <c r="C6" s="510">
        <v>3</v>
      </c>
      <c r="D6" s="701">
        <v>4</v>
      </c>
      <c r="E6" s="701">
        <v>5</v>
      </c>
      <c r="F6" s="701">
        <v>6</v>
      </c>
      <c r="G6" s="701">
        <v>7</v>
      </c>
      <c r="H6" s="701">
        <v>8</v>
      </c>
      <c r="I6" s="704">
        <v>9</v>
      </c>
      <c r="J6" s="510">
        <v>10</v>
      </c>
      <c r="K6" s="510">
        <v>11</v>
      </c>
    </row>
    <row r="7" spans="1:11" ht="132" hidden="1" customHeight="1" x14ac:dyDescent="0.3">
      <c r="A7" s="703">
        <v>1430</v>
      </c>
      <c r="B7" s="703">
        <v>150</v>
      </c>
      <c r="C7" s="703">
        <v>155</v>
      </c>
      <c r="D7" s="342" t="s">
        <v>787</v>
      </c>
      <c r="E7" s="816" t="s">
        <v>813</v>
      </c>
      <c r="F7" s="816" t="s">
        <v>814</v>
      </c>
      <c r="G7" s="816" t="s">
        <v>815</v>
      </c>
      <c r="H7" s="702"/>
      <c r="I7" s="705"/>
      <c r="J7" s="706"/>
      <c r="K7" s="706"/>
    </row>
    <row r="8" spans="1:11" ht="15.6" x14ac:dyDescent="0.3">
      <c r="A8" s="831">
        <v>1430</v>
      </c>
      <c r="B8" s="831">
        <v>150</v>
      </c>
      <c r="C8" s="831">
        <v>155</v>
      </c>
      <c r="D8" s="342"/>
      <c r="E8" s="701"/>
      <c r="F8" s="1166"/>
      <c r="G8" s="1166"/>
      <c r="H8" s="702"/>
      <c r="I8" s="705"/>
      <c r="J8" s="706"/>
      <c r="K8" s="706"/>
    </row>
    <row r="9" spans="1:11" ht="15.6" x14ac:dyDescent="0.3">
      <c r="A9" s="1183">
        <v>1430</v>
      </c>
      <c r="B9" s="1183">
        <v>150</v>
      </c>
      <c r="C9" s="1183">
        <v>155</v>
      </c>
      <c r="D9" s="342"/>
      <c r="E9" s="1182"/>
      <c r="F9" s="1182"/>
      <c r="G9" s="1182"/>
      <c r="H9" s="1181"/>
      <c r="I9" s="1181"/>
      <c r="J9" s="706"/>
      <c r="K9" s="706"/>
    </row>
    <row r="10" spans="1:11" ht="15.6" x14ac:dyDescent="0.3">
      <c r="A10" s="706"/>
      <c r="B10" s="706"/>
      <c r="C10" s="706"/>
      <c r="D10" s="508" t="s">
        <v>386</v>
      </c>
      <c r="E10" s="527"/>
      <c r="F10" s="527"/>
      <c r="G10" s="527"/>
      <c r="H10" s="487">
        <f>SUM(H7:H9)</f>
        <v>0</v>
      </c>
      <c r="I10" s="487">
        <f>SUM(I7:I8)</f>
        <v>0</v>
      </c>
      <c r="J10" s="487">
        <f>SUM(J7:J8)</f>
        <v>0</v>
      </c>
      <c r="K10" s="487">
        <f>SUM(K7:K8)</f>
        <v>0</v>
      </c>
    </row>
    <row r="11" spans="1:11" ht="15.6" x14ac:dyDescent="0.3">
      <c r="A11" s="833"/>
      <c r="B11" s="834">
        <v>610</v>
      </c>
      <c r="C11" s="829" t="s">
        <v>341</v>
      </c>
      <c r="D11" s="1707" t="s">
        <v>836</v>
      </c>
      <c r="E11" s="1708"/>
      <c r="F11" s="1708"/>
      <c r="G11" s="1709"/>
      <c r="H11" s="836"/>
      <c r="I11" s="838"/>
      <c r="J11" s="833"/>
      <c r="K11" s="833"/>
    </row>
    <row r="12" spans="1:11" ht="23.25" customHeight="1" x14ac:dyDescent="0.3">
      <c r="A12" s="835"/>
      <c r="B12" s="835"/>
      <c r="C12" s="835"/>
      <c r="D12" s="508" t="s">
        <v>386</v>
      </c>
      <c r="E12" s="527"/>
      <c r="F12" s="527"/>
      <c r="G12" s="527"/>
      <c r="H12" s="837">
        <f>H10-H11</f>
        <v>0</v>
      </c>
      <c r="I12" s="837">
        <f>I10-I11</f>
        <v>0</v>
      </c>
      <c r="J12" s="837">
        <f>J10-J11</f>
        <v>0</v>
      </c>
      <c r="K12" s="837">
        <f>K10-K11</f>
        <v>0</v>
      </c>
    </row>
    <row r="13" spans="1:11" ht="23.25" customHeight="1" x14ac:dyDescent="0.3">
      <c r="F13" s="712"/>
    </row>
    <row r="14" spans="1:11" ht="39" customHeight="1" x14ac:dyDescent="0.3">
      <c r="F14" s="712"/>
    </row>
    <row r="15" spans="1:11" ht="15" customHeight="1" x14ac:dyDescent="0.3">
      <c r="F15" s="712"/>
      <c r="H15" s="720"/>
      <c r="I15" s="720">
        <v>0</v>
      </c>
      <c r="J15" s="720">
        <v>0</v>
      </c>
      <c r="K15" s="720">
        <v>0</v>
      </c>
    </row>
    <row r="16" spans="1:11" ht="15" customHeight="1" x14ac:dyDescent="0.3">
      <c r="A16" s="710" t="s">
        <v>128</v>
      </c>
      <c r="F16" s="492"/>
      <c r="H16" s="720"/>
      <c r="I16" s="720">
        <f>I10-I15</f>
        <v>0</v>
      </c>
      <c r="J16" s="720">
        <f>J10-J15</f>
        <v>0</v>
      </c>
      <c r="K16" s="720">
        <f>K10-K15</f>
        <v>0</v>
      </c>
    </row>
  </sheetData>
  <mergeCells count="11">
    <mergeCell ref="D11:G11"/>
    <mergeCell ref="A1:K1"/>
    <mergeCell ref="A3:K3"/>
    <mergeCell ref="A4:A5"/>
    <mergeCell ref="B4:B5"/>
    <mergeCell ref="C4:C5"/>
    <mergeCell ref="D4:D5"/>
    <mergeCell ref="E4:E5"/>
    <mergeCell ref="F4:F5"/>
    <mergeCell ref="G4:G5"/>
    <mergeCell ref="H4:K4"/>
  </mergeCells>
  <pageMargins left="1.1811023622047245" right="0.70866141732283472" top="0.74803149606299213" bottom="0.74803149606299213" header="0.31496062992125984" footer="0.31496062992125984"/>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FF"/>
    <pageSetUpPr fitToPage="1"/>
  </sheetPr>
  <dimension ref="A1:N21"/>
  <sheetViews>
    <sheetView view="pageBreakPreview" zoomScale="80" zoomScaleSheetLayoutView="80" workbookViewId="0">
      <selection activeCell="A2" sqref="A2:N2"/>
    </sheetView>
  </sheetViews>
  <sheetFormatPr defaultColWidth="9.33203125" defaultRowHeight="13.8" x14ac:dyDescent="0.25"/>
  <cols>
    <col min="1" max="1" width="53.44140625" style="301" customWidth="1"/>
    <col min="2" max="2" width="8.6640625" style="331" customWidth="1"/>
    <col min="3" max="4" width="11.77734375" style="694" customWidth="1"/>
    <col min="5" max="5" width="14.44140625" style="694" customWidth="1"/>
    <col min="6" max="6" width="15" style="694" customWidth="1"/>
    <col min="7" max="7" width="13.33203125" style="695" customWidth="1"/>
    <col min="8" max="8" width="11.77734375" style="695" customWidth="1"/>
    <col min="9" max="9" width="14.44140625" style="695" customWidth="1"/>
    <col min="10" max="10" width="15.109375" style="695" customWidth="1"/>
    <col min="11" max="11" width="13.6640625" style="695" customWidth="1"/>
    <col min="12" max="12" width="11.77734375" style="695" customWidth="1"/>
    <col min="13" max="13" width="14.77734375" style="695" customWidth="1"/>
    <col min="14" max="14" width="15.109375" style="695" customWidth="1"/>
    <col min="15" max="16384" width="9.33203125" style="301"/>
  </cols>
  <sheetData>
    <row r="1" spans="1:14" ht="30.75" customHeight="1" x14ac:dyDescent="0.25">
      <c r="A1" s="1719" t="s">
        <v>279</v>
      </c>
      <c r="B1" s="1719"/>
      <c r="C1" s="1719"/>
      <c r="D1" s="1719"/>
      <c r="E1" s="1719"/>
      <c r="F1" s="1719"/>
      <c r="G1" s="1720"/>
      <c r="H1" s="1720"/>
      <c r="I1" s="1720"/>
      <c r="J1" s="1720"/>
      <c r="K1" s="1720"/>
      <c r="L1" s="1720"/>
      <c r="M1" s="1720"/>
      <c r="N1" s="1720"/>
    </row>
    <row r="2" spans="1:14" ht="19.5" customHeight="1" x14ac:dyDescent="0.25">
      <c r="A2" s="1717" t="str">
        <f>'Поступления всего'!A2:F2</f>
        <v>МБУ ДО "Норильская детская художестенная школа имени Н.П. Лоя"</v>
      </c>
      <c r="B2" s="1717"/>
      <c r="C2" s="1717"/>
      <c r="D2" s="1717"/>
      <c r="E2" s="1717"/>
      <c r="F2" s="1717"/>
      <c r="G2" s="1718"/>
      <c r="H2" s="1718"/>
      <c r="I2" s="1718"/>
      <c r="J2" s="1718"/>
      <c r="K2" s="1718"/>
      <c r="L2" s="1718"/>
      <c r="M2" s="1718"/>
      <c r="N2" s="1718"/>
    </row>
    <row r="3" spans="1:14" x14ac:dyDescent="0.25">
      <c r="A3" s="1724"/>
      <c r="B3" s="1724"/>
      <c r="C3" s="1724"/>
      <c r="D3" s="1724"/>
      <c r="E3" s="1724"/>
      <c r="F3" s="1724"/>
    </row>
    <row r="4" spans="1:14" x14ac:dyDescent="0.25">
      <c r="A4" s="1631" t="s">
        <v>183</v>
      </c>
      <c r="B4" s="1591" t="s">
        <v>184</v>
      </c>
      <c r="C4" s="1725" t="s">
        <v>185</v>
      </c>
      <c r="D4" s="1726"/>
      <c r="E4" s="1726"/>
      <c r="F4" s="1727"/>
      <c r="G4" s="1721" t="s">
        <v>185</v>
      </c>
      <c r="H4" s="1722"/>
      <c r="I4" s="1722"/>
      <c r="J4" s="1723"/>
      <c r="K4" s="1721" t="s">
        <v>185</v>
      </c>
      <c r="L4" s="1722"/>
      <c r="M4" s="1722"/>
      <c r="N4" s="1723"/>
    </row>
    <row r="5" spans="1:14" ht="22.2" customHeight="1" x14ac:dyDescent="0.25">
      <c r="A5" s="1631"/>
      <c r="B5" s="1591"/>
      <c r="C5" s="1725" t="s">
        <v>687</v>
      </c>
      <c r="D5" s="1726"/>
      <c r="E5" s="1726"/>
      <c r="F5" s="1727"/>
      <c r="G5" s="1721" t="s">
        <v>843</v>
      </c>
      <c r="H5" s="1722"/>
      <c r="I5" s="1722"/>
      <c r="J5" s="1723"/>
      <c r="K5" s="1721" t="s">
        <v>893</v>
      </c>
      <c r="L5" s="1722"/>
      <c r="M5" s="1722"/>
      <c r="N5" s="1723"/>
    </row>
    <row r="6" spans="1:14" ht="118.95" customHeight="1" x14ac:dyDescent="0.25">
      <c r="A6" s="1631"/>
      <c r="B6" s="1591"/>
      <c r="C6" s="488" t="s">
        <v>661</v>
      </c>
      <c r="D6" s="488" t="s">
        <v>658</v>
      </c>
      <c r="E6" s="488" t="s">
        <v>657</v>
      </c>
      <c r="F6" s="488" t="s">
        <v>659</v>
      </c>
      <c r="G6" s="696" t="s">
        <v>662</v>
      </c>
      <c r="H6" s="696" t="s">
        <v>658</v>
      </c>
      <c r="I6" s="696" t="s">
        <v>657</v>
      </c>
      <c r="J6" s="696" t="s">
        <v>663</v>
      </c>
      <c r="K6" s="696" t="s">
        <v>662</v>
      </c>
      <c r="L6" s="696" t="s">
        <v>658</v>
      </c>
      <c r="M6" s="696" t="s">
        <v>657</v>
      </c>
      <c r="N6" s="696" t="s">
        <v>660</v>
      </c>
    </row>
    <row r="7" spans="1:14" x14ac:dyDescent="0.25">
      <c r="A7" s="318">
        <v>1</v>
      </c>
      <c r="B7" s="337">
        <v>2</v>
      </c>
      <c r="C7" s="488">
        <v>3</v>
      </c>
      <c r="D7" s="488">
        <v>4</v>
      </c>
      <c r="E7" s="488">
        <v>5</v>
      </c>
      <c r="F7" s="488">
        <v>6</v>
      </c>
      <c r="G7" s="696">
        <v>7</v>
      </c>
      <c r="H7" s="696">
        <v>8</v>
      </c>
      <c r="I7" s="696">
        <v>9</v>
      </c>
      <c r="J7" s="696">
        <v>10</v>
      </c>
      <c r="K7" s="696">
        <v>11</v>
      </c>
      <c r="L7" s="696">
        <v>12</v>
      </c>
      <c r="M7" s="696">
        <v>13</v>
      </c>
      <c r="N7" s="696">
        <v>14</v>
      </c>
    </row>
    <row r="8" spans="1:14" ht="32.25" customHeight="1" x14ac:dyDescent="0.25">
      <c r="A8" s="302" t="s">
        <v>280</v>
      </c>
      <c r="B8" s="337" t="s">
        <v>397</v>
      </c>
      <c r="C8" s="347"/>
      <c r="D8" s="347"/>
      <c r="E8" s="347">
        <f>E9</f>
        <v>0</v>
      </c>
      <c r="F8" s="347"/>
      <c r="G8" s="697"/>
      <c r="H8" s="697"/>
      <c r="I8" s="697"/>
      <c r="J8" s="697"/>
      <c r="K8" s="697"/>
      <c r="L8" s="697"/>
      <c r="M8" s="697"/>
      <c r="N8" s="697"/>
    </row>
    <row r="9" spans="1:14" ht="13.5" customHeight="1" x14ac:dyDescent="0.25">
      <c r="A9" s="302" t="s">
        <v>203</v>
      </c>
      <c r="B9" s="337" t="s">
        <v>414</v>
      </c>
      <c r="C9" s="347"/>
      <c r="D9" s="347"/>
      <c r="E9" s="347">
        <f>E10</f>
        <v>0</v>
      </c>
      <c r="F9" s="347"/>
      <c r="G9" s="697"/>
      <c r="H9" s="697"/>
      <c r="I9" s="697"/>
      <c r="J9" s="697"/>
      <c r="K9" s="697"/>
      <c r="L9" s="697"/>
      <c r="M9" s="697"/>
      <c r="N9" s="697"/>
    </row>
    <row r="10" spans="1:14" ht="27.6" x14ac:dyDescent="0.25">
      <c r="A10" s="302" t="s">
        <v>869</v>
      </c>
      <c r="B10" s="337"/>
      <c r="C10" s="347"/>
      <c r="D10" s="347"/>
      <c r="E10" s="347"/>
      <c r="F10" s="347"/>
      <c r="G10" s="697"/>
      <c r="H10" s="697"/>
      <c r="I10" s="697"/>
      <c r="J10" s="697"/>
      <c r="K10" s="697"/>
      <c r="L10" s="697"/>
      <c r="M10" s="697"/>
      <c r="N10" s="697"/>
    </row>
    <row r="11" spans="1:14" ht="27.6" x14ac:dyDescent="0.25">
      <c r="A11" s="302" t="s">
        <v>281</v>
      </c>
      <c r="B11" s="337" t="s">
        <v>398</v>
      </c>
      <c r="C11" s="693"/>
      <c r="D11" s="693"/>
      <c r="E11" s="693"/>
      <c r="F11" s="693"/>
      <c r="G11" s="698"/>
      <c r="H11" s="698"/>
      <c r="I11" s="698"/>
      <c r="J11" s="698"/>
      <c r="K11" s="698"/>
      <c r="L11" s="698"/>
      <c r="M11" s="698"/>
      <c r="N11" s="698"/>
    </row>
    <row r="12" spans="1:14" x14ac:dyDescent="0.25">
      <c r="A12" s="302" t="s">
        <v>203</v>
      </c>
      <c r="B12" s="337" t="s">
        <v>413</v>
      </c>
      <c r="C12" s="693"/>
      <c r="D12" s="693"/>
      <c r="E12" s="693"/>
      <c r="F12" s="693"/>
      <c r="G12" s="698"/>
      <c r="H12" s="698"/>
      <c r="I12" s="698"/>
      <c r="J12" s="698"/>
      <c r="K12" s="698"/>
      <c r="L12" s="698"/>
      <c r="M12" s="698"/>
      <c r="N12" s="698"/>
    </row>
    <row r="13" spans="1:14" ht="17.25" customHeight="1" x14ac:dyDescent="0.25">
      <c r="A13" s="302"/>
      <c r="B13" s="337"/>
      <c r="C13" s="347"/>
      <c r="D13" s="347"/>
      <c r="E13" s="347"/>
      <c r="F13" s="347"/>
      <c r="G13" s="697"/>
      <c r="H13" s="697"/>
      <c r="I13" s="697"/>
      <c r="J13" s="697"/>
      <c r="K13" s="697"/>
      <c r="L13" s="697"/>
      <c r="M13" s="697"/>
      <c r="N13" s="697"/>
    </row>
    <row r="14" spans="1:14" ht="43.5" customHeight="1" x14ac:dyDescent="0.25">
      <c r="A14" s="302" t="s">
        <v>282</v>
      </c>
      <c r="B14" s="337" t="s">
        <v>399</v>
      </c>
      <c r="C14" s="347"/>
      <c r="D14" s="347"/>
      <c r="E14" s="347"/>
      <c r="F14" s="347"/>
      <c r="G14" s="697"/>
      <c r="H14" s="697"/>
      <c r="I14" s="697"/>
      <c r="J14" s="697"/>
      <c r="K14" s="697"/>
      <c r="L14" s="697"/>
      <c r="M14" s="697"/>
      <c r="N14" s="697"/>
    </row>
    <row r="15" spans="1:14" x14ac:dyDescent="0.25">
      <c r="A15" s="302" t="s">
        <v>203</v>
      </c>
      <c r="B15" s="337" t="s">
        <v>422</v>
      </c>
      <c r="C15" s="347"/>
      <c r="D15" s="347"/>
      <c r="E15" s="347"/>
      <c r="F15" s="347"/>
      <c r="G15" s="697"/>
      <c r="H15" s="697"/>
      <c r="I15" s="697"/>
      <c r="J15" s="697"/>
      <c r="K15" s="697"/>
      <c r="L15" s="697"/>
      <c r="M15" s="697"/>
      <c r="N15" s="697"/>
    </row>
    <row r="16" spans="1:14" x14ac:dyDescent="0.25">
      <c r="A16" s="302"/>
      <c r="B16" s="337"/>
      <c r="C16" s="347"/>
      <c r="D16" s="347"/>
      <c r="E16" s="347"/>
      <c r="F16" s="347"/>
      <c r="G16" s="697"/>
      <c r="H16" s="697"/>
      <c r="I16" s="697"/>
      <c r="J16" s="697"/>
      <c r="K16" s="697"/>
      <c r="L16" s="697"/>
      <c r="M16" s="697"/>
      <c r="N16" s="697"/>
    </row>
    <row r="17" spans="1:14" x14ac:dyDescent="0.25">
      <c r="A17" s="302" t="s">
        <v>367</v>
      </c>
      <c r="B17" s="337" t="s">
        <v>409</v>
      </c>
      <c r="C17" s="347"/>
      <c r="D17" s="347"/>
      <c r="E17" s="347"/>
      <c r="F17" s="347"/>
      <c r="G17" s="697"/>
      <c r="H17" s="697"/>
      <c r="I17" s="697"/>
      <c r="J17" s="697"/>
      <c r="K17" s="697"/>
      <c r="L17" s="697"/>
      <c r="M17" s="697"/>
      <c r="N17" s="697"/>
    </row>
    <row r="18" spans="1:14" ht="18" customHeight="1" x14ac:dyDescent="0.25">
      <c r="A18" s="302" t="s">
        <v>203</v>
      </c>
      <c r="B18" s="337" t="s">
        <v>423</v>
      </c>
      <c r="C18" s="347"/>
      <c r="D18" s="347"/>
      <c r="E18" s="347"/>
      <c r="F18" s="347"/>
      <c r="G18" s="697"/>
      <c r="H18" s="697"/>
      <c r="I18" s="697"/>
      <c r="J18" s="697"/>
      <c r="K18" s="697"/>
      <c r="L18" s="697"/>
      <c r="M18" s="697"/>
      <c r="N18" s="697"/>
    </row>
    <row r="19" spans="1:14" ht="18" hidden="1" customHeight="1" x14ac:dyDescent="0.25">
      <c r="A19" s="302" t="s">
        <v>364</v>
      </c>
      <c r="B19" s="337"/>
      <c r="C19" s="347"/>
      <c r="D19" s="347"/>
      <c r="E19" s="347"/>
      <c r="F19" s="347"/>
      <c r="G19" s="697"/>
      <c r="H19" s="697"/>
      <c r="I19" s="697"/>
      <c r="J19" s="697"/>
      <c r="K19" s="697"/>
      <c r="L19" s="697"/>
      <c r="M19" s="697"/>
      <c r="N19" s="697"/>
    </row>
    <row r="20" spans="1:14" ht="18" hidden="1" customHeight="1" x14ac:dyDescent="0.25">
      <c r="A20" s="302" t="s">
        <v>433</v>
      </c>
      <c r="B20" s="339"/>
      <c r="C20" s="347"/>
      <c r="D20" s="347"/>
      <c r="E20" s="347"/>
      <c r="F20" s="347"/>
      <c r="G20" s="697"/>
      <c r="H20" s="697"/>
      <c r="I20" s="697"/>
      <c r="J20" s="697"/>
      <c r="K20" s="697"/>
      <c r="L20" s="697"/>
      <c r="M20" s="697"/>
      <c r="N20" s="697"/>
    </row>
    <row r="21" spans="1:14" s="306" customFormat="1" ht="17.25" customHeight="1" x14ac:dyDescent="0.25">
      <c r="A21" s="304" t="s">
        <v>97</v>
      </c>
      <c r="B21" s="338"/>
      <c r="C21" s="635">
        <f>C8+C11+C14+C17</f>
        <v>0</v>
      </c>
      <c r="D21" s="635">
        <f t="shared" ref="D21:N21" si="0">D8+D11+D14+D17</f>
        <v>0</v>
      </c>
      <c r="E21" s="635">
        <f t="shared" si="0"/>
        <v>0</v>
      </c>
      <c r="F21" s="635">
        <f t="shared" si="0"/>
        <v>0</v>
      </c>
      <c r="G21" s="699">
        <f t="shared" si="0"/>
        <v>0</v>
      </c>
      <c r="H21" s="699">
        <f t="shared" si="0"/>
        <v>0</v>
      </c>
      <c r="I21" s="699">
        <f t="shared" si="0"/>
        <v>0</v>
      </c>
      <c r="J21" s="699">
        <f t="shared" si="0"/>
        <v>0</v>
      </c>
      <c r="K21" s="699">
        <f t="shared" si="0"/>
        <v>0</v>
      </c>
      <c r="L21" s="699">
        <f t="shared" si="0"/>
        <v>0</v>
      </c>
      <c r="M21" s="699">
        <f t="shared" si="0"/>
        <v>0</v>
      </c>
      <c r="N21" s="699">
        <f t="shared" si="0"/>
        <v>0</v>
      </c>
    </row>
  </sheetData>
  <mergeCells count="11">
    <mergeCell ref="A2:N2"/>
    <mergeCell ref="A1:N1"/>
    <mergeCell ref="G4:J4"/>
    <mergeCell ref="G5:J5"/>
    <mergeCell ref="K4:N4"/>
    <mergeCell ref="K5:N5"/>
    <mergeCell ref="A3:F3"/>
    <mergeCell ref="A4:A6"/>
    <mergeCell ref="B4:B6"/>
    <mergeCell ref="C4:F4"/>
    <mergeCell ref="C5:F5"/>
  </mergeCells>
  <pageMargins left="0.39370078740157483" right="0.19685039370078741" top="1.1811023622047245" bottom="0.74803149606299213" header="0.31496062992125984" footer="0.31496062992125984"/>
  <pageSetup paperSize="9"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A1:Q99"/>
  <sheetViews>
    <sheetView showZeros="0" view="pageBreakPreview" zoomScale="70" zoomScaleSheetLayoutView="70" workbookViewId="0">
      <pane ySplit="7" topLeftCell="A11" activePane="bottomLeft" state="frozen"/>
      <selection pane="bottomLeft" activeCell="E21" sqref="E21"/>
    </sheetView>
  </sheetViews>
  <sheetFormatPr defaultColWidth="9.33203125" defaultRowHeight="13.8" x14ac:dyDescent="0.25"/>
  <cols>
    <col min="1" max="1" width="63.6640625" style="345" customWidth="1"/>
    <col min="2" max="2" width="10" style="491" customWidth="1"/>
    <col min="3" max="3" width="15.44140625" style="491" customWidth="1"/>
    <col min="4" max="4" width="14.77734375" style="491" customWidth="1"/>
    <col min="5" max="5" width="17.77734375" style="491" customWidth="1"/>
    <col min="6" max="6" width="16" style="491" customWidth="1"/>
    <col min="7" max="7" width="16.6640625" style="345" customWidth="1"/>
    <col min="8" max="8" width="13.33203125" style="345" customWidth="1"/>
    <col min="9" max="9" width="15.44140625" style="694" customWidth="1"/>
    <col min="10" max="10" width="15.109375" style="345" customWidth="1"/>
    <col min="11" max="11" width="19.33203125" style="345" customWidth="1"/>
    <col min="12" max="12" width="13.77734375" style="345" customWidth="1"/>
    <col min="13" max="13" width="17.77734375" style="694" customWidth="1"/>
    <col min="14" max="14" width="15" style="345" customWidth="1"/>
    <col min="15" max="15" width="27.77734375" style="759" bestFit="1" customWidth="1"/>
    <col min="16" max="16" width="15.33203125" style="345" bestFit="1" customWidth="1"/>
    <col min="17" max="17" width="12.33203125" style="345" bestFit="1" customWidth="1"/>
    <col min="18" max="16384" width="9.33203125" style="345"/>
  </cols>
  <sheetData>
    <row r="1" spans="1:15" s="694" customFormat="1" x14ac:dyDescent="0.25">
      <c r="A1" s="1705"/>
      <c r="B1" s="1705"/>
      <c r="C1" s="1705"/>
      <c r="D1" s="1705"/>
      <c r="E1" s="1705"/>
      <c r="F1" s="1705"/>
      <c r="G1" s="1705"/>
      <c r="H1" s="1705"/>
      <c r="I1" s="1705"/>
      <c r="J1" s="1705"/>
      <c r="K1" s="1705"/>
      <c r="L1" s="1705"/>
      <c r="M1" s="1705"/>
      <c r="N1" s="1705"/>
      <c r="O1" s="758"/>
    </row>
    <row r="2" spans="1:15" ht="20.399999999999999" x14ac:dyDescent="0.25">
      <c r="A2" s="1737" t="str">
        <f>'Поступления всего'!A2:F2</f>
        <v>МБУ ДО "Норильская детская художестенная школа имени Н.П. Лоя"</v>
      </c>
      <c r="B2" s="1737"/>
      <c r="C2" s="1737"/>
      <c r="D2" s="1737"/>
      <c r="E2" s="1737"/>
      <c r="F2" s="1737"/>
      <c r="G2" s="1737"/>
      <c r="H2" s="1737"/>
      <c r="I2" s="1737"/>
      <c r="J2" s="1737"/>
      <c r="K2" s="1737"/>
      <c r="L2" s="1737"/>
      <c r="M2" s="1737"/>
      <c r="N2" s="1737"/>
    </row>
    <row r="3" spans="1:15" x14ac:dyDescent="0.25">
      <c r="A3" s="721"/>
      <c r="B3" s="490"/>
      <c r="C3" s="490"/>
      <c r="D3" s="490"/>
      <c r="E3" s="490"/>
      <c r="F3" s="490"/>
      <c r="G3" s="721"/>
      <c r="H3" s="721"/>
      <c r="I3" s="929"/>
      <c r="J3" s="721"/>
      <c r="K3" s="721"/>
      <c r="L3" s="721"/>
      <c r="M3" s="929"/>
      <c r="N3" s="722"/>
    </row>
    <row r="4" spans="1:15" x14ac:dyDescent="0.25">
      <c r="A4" s="1738" t="s">
        <v>183</v>
      </c>
      <c r="B4" s="1739" t="s">
        <v>184</v>
      </c>
      <c r="C4" s="1740" t="s">
        <v>185</v>
      </c>
      <c r="D4" s="1741"/>
      <c r="E4" s="1741"/>
      <c r="F4" s="1741"/>
      <c r="G4" s="1741"/>
      <c r="H4" s="1741"/>
      <c r="I4" s="1741"/>
      <c r="J4" s="1741"/>
      <c r="K4" s="1741"/>
      <c r="L4" s="1741"/>
      <c r="M4" s="1741"/>
      <c r="N4" s="1742"/>
    </row>
    <row r="5" spans="1:15" x14ac:dyDescent="0.25">
      <c r="A5" s="1738"/>
      <c r="B5" s="1739"/>
      <c r="C5" s="1740" t="s">
        <v>692</v>
      </c>
      <c r="D5" s="1741"/>
      <c r="E5" s="1741"/>
      <c r="F5" s="1742"/>
      <c r="G5" s="1740" t="s">
        <v>842</v>
      </c>
      <c r="H5" s="1741"/>
      <c r="I5" s="1741"/>
      <c r="J5" s="1742"/>
      <c r="K5" s="1740" t="s">
        <v>885</v>
      </c>
      <c r="L5" s="1741"/>
      <c r="M5" s="1741"/>
      <c r="N5" s="1742"/>
    </row>
    <row r="6" spans="1:15" ht="114.6" customHeight="1" x14ac:dyDescent="0.25">
      <c r="A6" s="1738"/>
      <c r="B6" s="1739"/>
      <c r="C6" s="346" t="s">
        <v>753</v>
      </c>
      <c r="D6" s="346" t="s">
        <v>754</v>
      </c>
      <c r="E6" s="346" t="s">
        <v>619</v>
      </c>
      <c r="F6" s="346" t="s">
        <v>618</v>
      </c>
      <c r="G6" s="346" t="s">
        <v>755</v>
      </c>
      <c r="H6" s="346" t="s">
        <v>756</v>
      </c>
      <c r="I6" s="346" t="s">
        <v>617</v>
      </c>
      <c r="J6" s="346" t="s">
        <v>616</v>
      </c>
      <c r="K6" s="346" t="s">
        <v>753</v>
      </c>
      <c r="L6" s="346" t="s">
        <v>754</v>
      </c>
      <c r="M6" s="346" t="s">
        <v>620</v>
      </c>
      <c r="N6" s="346" t="s">
        <v>616</v>
      </c>
    </row>
    <row r="7" spans="1:15" s="694" customFormat="1" x14ac:dyDescent="0.25">
      <c r="A7" s="739">
        <v>1</v>
      </c>
      <c r="B7" s="346">
        <v>2</v>
      </c>
      <c r="C7" s="739">
        <v>3</v>
      </c>
      <c r="D7" s="346">
        <v>4</v>
      </c>
      <c r="E7" s="739">
        <v>5</v>
      </c>
      <c r="F7" s="346">
        <v>6</v>
      </c>
      <c r="G7" s="739">
        <v>7</v>
      </c>
      <c r="H7" s="346">
        <v>8</v>
      </c>
      <c r="I7" s="739">
        <v>9</v>
      </c>
      <c r="J7" s="346">
        <v>10</v>
      </c>
      <c r="K7" s="739">
        <v>11</v>
      </c>
      <c r="L7" s="346">
        <v>12</v>
      </c>
      <c r="M7" s="739">
        <v>13</v>
      </c>
      <c r="N7" s="346">
        <v>14</v>
      </c>
      <c r="O7" s="758"/>
    </row>
    <row r="8" spans="1:15" s="694" customFormat="1" x14ac:dyDescent="0.25">
      <c r="A8" s="1728" t="s">
        <v>438</v>
      </c>
      <c r="B8" s="1729"/>
      <c r="C8" s="1729"/>
      <c r="D8" s="1729"/>
      <c r="E8" s="1729"/>
      <c r="F8" s="1729"/>
      <c r="G8" s="1729"/>
      <c r="H8" s="1729"/>
      <c r="I8" s="1729"/>
      <c r="J8" s="1729"/>
      <c r="K8" s="1729"/>
      <c r="L8" s="1729"/>
      <c r="M8" s="1729"/>
      <c r="N8" s="1730"/>
      <c r="O8" s="758"/>
    </row>
    <row r="9" spans="1:15" ht="27.6" hidden="1" x14ac:dyDescent="0.25">
      <c r="A9" s="760" t="s">
        <v>189</v>
      </c>
      <c r="B9" s="1051" t="s">
        <v>397</v>
      </c>
      <c r="C9" s="347"/>
      <c r="D9" s="347"/>
      <c r="E9" s="347"/>
      <c r="F9" s="347"/>
      <c r="G9" s="347"/>
      <c r="H9" s="347"/>
      <c r="I9" s="347"/>
      <c r="J9" s="347"/>
      <c r="K9" s="347"/>
      <c r="L9" s="347"/>
      <c r="M9" s="347"/>
      <c r="N9" s="347"/>
    </row>
    <row r="10" spans="1:15" ht="27.6" hidden="1" x14ac:dyDescent="0.25">
      <c r="A10" s="760" t="s">
        <v>190</v>
      </c>
      <c r="B10" s="1051" t="s">
        <v>398</v>
      </c>
      <c r="C10" s="486"/>
      <c r="D10" s="486"/>
      <c r="E10" s="486"/>
      <c r="F10" s="486"/>
      <c r="G10" s="486"/>
      <c r="H10" s="347"/>
      <c r="I10" s="347"/>
      <c r="J10" s="347"/>
      <c r="K10" s="347"/>
      <c r="L10" s="347"/>
      <c r="M10" s="347"/>
      <c r="N10" s="347"/>
    </row>
    <row r="11" spans="1:15" ht="19.95" customHeight="1" x14ac:dyDescent="0.25">
      <c r="A11" s="760" t="s">
        <v>191</v>
      </c>
      <c r="B11" s="1051" t="s">
        <v>399</v>
      </c>
      <c r="C11" s="347">
        <f>'расходы 831, 841 26'!H8</f>
        <v>36851300</v>
      </c>
      <c r="D11" s="347">
        <v>246300</v>
      </c>
      <c r="E11" s="347">
        <v>0</v>
      </c>
      <c r="F11" s="347">
        <f>'расходы 820 26'!H9+'расходы 820 26'!I9</f>
        <v>0</v>
      </c>
      <c r="G11" s="347">
        <f>'расходы 831, 841 27-28'!H9</f>
        <v>36851300</v>
      </c>
      <c r="H11" s="347">
        <v>246300</v>
      </c>
      <c r="I11" s="347"/>
      <c r="J11" s="347">
        <f>'расходы 820 27-28'!H10</f>
        <v>0</v>
      </c>
      <c r="K11" s="347">
        <f>'расходы 831, 841 27-28'!N9</f>
        <v>36851300</v>
      </c>
      <c r="L11" s="347">
        <f>'расходы 831, 841 27-28'!Q9</f>
        <v>246300</v>
      </c>
      <c r="M11" s="347"/>
      <c r="N11" s="347">
        <f>'расходы 820 27-28'!K10</f>
        <v>0</v>
      </c>
      <c r="O11" s="759">
        <v>991</v>
      </c>
    </row>
    <row r="12" spans="1:15" ht="27.6" hidden="1" x14ac:dyDescent="0.25">
      <c r="A12" s="760" t="s">
        <v>192</v>
      </c>
      <c r="B12" s="1051" t="s">
        <v>409</v>
      </c>
      <c r="C12" s="347"/>
      <c r="D12" s="347"/>
      <c r="E12" s="347"/>
      <c r="F12" s="347"/>
      <c r="G12" s="347"/>
      <c r="H12" s="347"/>
      <c r="I12" s="347"/>
      <c r="J12" s="347"/>
      <c r="K12" s="347"/>
      <c r="L12" s="347"/>
      <c r="M12" s="347"/>
      <c r="N12" s="347"/>
    </row>
    <row r="13" spans="1:15" ht="27.6" hidden="1" x14ac:dyDescent="0.25">
      <c r="A13" s="760" t="s">
        <v>193</v>
      </c>
      <c r="B13" s="1051" t="s">
        <v>410</v>
      </c>
      <c r="C13" s="347"/>
      <c r="D13" s="347"/>
      <c r="E13" s="347"/>
      <c r="F13" s="347"/>
      <c r="G13" s="347"/>
      <c r="H13" s="347"/>
      <c r="I13" s="347"/>
      <c r="J13" s="347"/>
      <c r="K13" s="347"/>
      <c r="L13" s="347"/>
      <c r="M13" s="347"/>
      <c r="N13" s="347"/>
    </row>
    <row r="14" spans="1:15" s="762" customFormat="1" ht="27.6" x14ac:dyDescent="0.25">
      <c r="A14" s="761" t="s">
        <v>781</v>
      </c>
      <c r="B14" s="647" t="s">
        <v>411</v>
      </c>
      <c r="C14" s="351">
        <f>C9-C10+C11-C12+C13</f>
        <v>36851300</v>
      </c>
      <c r="D14" s="351">
        <f>D9-D10+D11-D12+D13</f>
        <v>246300</v>
      </c>
      <c r="E14" s="351">
        <f t="shared" ref="E14:F14" si="0">E9-E10+E11-E12+E13</f>
        <v>0</v>
      </c>
      <c r="F14" s="351">
        <f t="shared" si="0"/>
        <v>0</v>
      </c>
      <c r="G14" s="351">
        <f>G9-G10+G11-G12+G13</f>
        <v>36851300</v>
      </c>
      <c r="H14" s="351">
        <f>H9-H10+H11-H12+H13</f>
        <v>246300</v>
      </c>
      <c r="I14" s="351">
        <f t="shared" ref="I14:N14" si="1">I9-I10+I11-I12+I13</f>
        <v>0</v>
      </c>
      <c r="J14" s="351">
        <f t="shared" si="1"/>
        <v>0</v>
      </c>
      <c r="K14" s="351">
        <f t="shared" si="1"/>
        <v>36851300</v>
      </c>
      <c r="L14" s="351">
        <f t="shared" si="1"/>
        <v>246300</v>
      </c>
      <c r="M14" s="351">
        <f t="shared" si="1"/>
        <v>0</v>
      </c>
      <c r="N14" s="351">
        <f t="shared" si="1"/>
        <v>0</v>
      </c>
      <c r="O14" s="759"/>
    </row>
    <row r="15" spans="1:15" x14ac:dyDescent="0.25">
      <c r="A15" s="1731" t="s">
        <v>440</v>
      </c>
      <c r="B15" s="1732"/>
      <c r="C15" s="1732"/>
      <c r="D15" s="1732"/>
      <c r="E15" s="1732"/>
      <c r="F15" s="1732"/>
      <c r="G15" s="1732"/>
      <c r="H15" s="1732"/>
      <c r="I15" s="1732"/>
      <c r="J15" s="1732"/>
      <c r="K15" s="1732"/>
      <c r="L15" s="1732"/>
      <c r="M15" s="1732"/>
      <c r="N15" s="1733"/>
    </row>
    <row r="16" spans="1:15" ht="41.4" hidden="1" x14ac:dyDescent="0.25">
      <c r="A16" s="763" t="s">
        <v>219</v>
      </c>
      <c r="B16" s="648" t="s">
        <v>397</v>
      </c>
      <c r="C16" s="347"/>
      <c r="D16" s="347"/>
      <c r="E16" s="347"/>
      <c r="F16" s="347"/>
      <c r="G16" s="347"/>
      <c r="H16" s="347"/>
      <c r="I16" s="347"/>
      <c r="J16" s="347"/>
      <c r="K16" s="347"/>
      <c r="L16" s="347"/>
      <c r="M16" s="347"/>
      <c r="N16" s="347"/>
    </row>
    <row r="17" spans="1:15" ht="27.6" hidden="1" x14ac:dyDescent="0.25">
      <c r="A17" s="763" t="s">
        <v>190</v>
      </c>
      <c r="B17" s="648" t="s">
        <v>398</v>
      </c>
      <c r="C17" s="347"/>
      <c r="D17" s="347"/>
      <c r="E17" s="347"/>
      <c r="F17" s="347"/>
      <c r="G17" s="347"/>
      <c r="H17" s="347"/>
      <c r="I17" s="347"/>
      <c r="J17" s="347"/>
      <c r="K17" s="347"/>
      <c r="L17" s="347"/>
      <c r="M17" s="347"/>
      <c r="N17" s="347"/>
    </row>
    <row r="18" spans="1:15" ht="27.6" x14ac:dyDescent="0.25">
      <c r="A18" s="764" t="s">
        <v>214</v>
      </c>
      <c r="B18" s="649" t="s">
        <v>399</v>
      </c>
      <c r="C18" s="489">
        <f t="shared" ref="C18:N18" si="2">SUM(C19:C24)</f>
        <v>0</v>
      </c>
      <c r="D18" s="489">
        <f t="shared" si="2"/>
        <v>960300</v>
      </c>
      <c r="E18" s="489">
        <f t="shared" si="2"/>
        <v>97600</v>
      </c>
      <c r="F18" s="489">
        <f t="shared" si="2"/>
        <v>0</v>
      </c>
      <c r="G18" s="489">
        <f t="shared" si="2"/>
        <v>0</v>
      </c>
      <c r="H18" s="489">
        <f t="shared" si="2"/>
        <v>960300</v>
      </c>
      <c r="I18" s="489">
        <f t="shared" si="2"/>
        <v>112200</v>
      </c>
      <c r="J18" s="489">
        <f t="shared" si="2"/>
        <v>0</v>
      </c>
      <c r="K18" s="489">
        <f t="shared" si="2"/>
        <v>0</v>
      </c>
      <c r="L18" s="489">
        <f t="shared" si="2"/>
        <v>960300</v>
      </c>
      <c r="M18" s="489">
        <f t="shared" si="2"/>
        <v>112200</v>
      </c>
      <c r="N18" s="489">
        <f t="shared" si="2"/>
        <v>0</v>
      </c>
    </row>
    <row r="19" spans="1:15" ht="31.5" customHeight="1" x14ac:dyDescent="0.25">
      <c r="A19" s="914" t="s">
        <v>844</v>
      </c>
      <c r="B19" s="346" t="s">
        <v>422</v>
      </c>
      <c r="C19" s="347"/>
      <c r="D19" s="347"/>
      <c r="E19" s="347">
        <f>'расходы 810 26'!H9</f>
        <v>41600</v>
      </c>
      <c r="F19" s="347">
        <f>'расходы 820 26'!H13+'расходы 820 26'!I13</f>
        <v>0</v>
      </c>
      <c r="G19" s="347"/>
      <c r="H19" s="347"/>
      <c r="I19" s="347">
        <f>'расходы 810 27-28'!H9</f>
        <v>112200</v>
      </c>
      <c r="J19" s="347">
        <f>'расходы 820 27-28'!H14</f>
        <v>0</v>
      </c>
      <c r="K19" s="347"/>
      <c r="L19" s="347"/>
      <c r="M19" s="347">
        <f>'расходы 810 27-28'!K9</f>
        <v>112200</v>
      </c>
      <c r="N19" s="347">
        <f>'расходы 820 27-28'!K14</f>
        <v>0</v>
      </c>
      <c r="O19" s="924">
        <v>912</v>
      </c>
    </row>
    <row r="20" spans="1:15" x14ac:dyDescent="0.25">
      <c r="A20" s="509" t="s">
        <v>216</v>
      </c>
      <c r="B20" s="346" t="s">
        <v>424</v>
      </c>
      <c r="C20" s="347"/>
      <c r="D20" s="347">
        <f>'расходы 831, 841 26'!I13</f>
        <v>960300</v>
      </c>
      <c r="E20" s="347"/>
      <c r="F20" s="347"/>
      <c r="G20" s="347">
        <f>'расходы 831, 841 27-28'!H13</f>
        <v>0</v>
      </c>
      <c r="H20" s="347">
        <f>'расходы 831, 841 27-28'!I13</f>
        <v>960300</v>
      </c>
      <c r="I20" s="347"/>
      <c r="J20" s="347"/>
      <c r="K20" s="347"/>
      <c r="L20" s="347">
        <f>'расходы 831, 841 27-28'!O13</f>
        <v>960300</v>
      </c>
      <c r="M20" s="347"/>
      <c r="N20" s="347"/>
      <c r="O20" s="759">
        <v>911</v>
      </c>
    </row>
    <row r="21" spans="1:15" ht="27.6" x14ac:dyDescent="0.25">
      <c r="A21" s="765" t="s">
        <v>615</v>
      </c>
      <c r="B21" s="346" t="s">
        <v>426</v>
      </c>
      <c r="C21" s="347"/>
      <c r="D21" s="347"/>
      <c r="E21" s="347"/>
      <c r="F21" s="347"/>
      <c r="G21" s="347"/>
      <c r="H21" s="347"/>
      <c r="I21" s="347"/>
      <c r="J21" s="347"/>
      <c r="K21" s="347"/>
      <c r="L21" s="347"/>
      <c r="M21" s="347"/>
      <c r="N21" s="347"/>
      <c r="O21" s="759">
        <v>917</v>
      </c>
    </row>
    <row r="22" spans="1:15" x14ac:dyDescent="0.25">
      <c r="A22" s="509" t="s">
        <v>217</v>
      </c>
      <c r="B22" s="346" t="s">
        <v>427</v>
      </c>
      <c r="C22" s="347"/>
      <c r="D22" s="347"/>
      <c r="E22" s="347">
        <f>'расходы 810 26'!H13+'расходы 810 26'!I13</f>
        <v>56000</v>
      </c>
      <c r="F22" s="347"/>
      <c r="G22" s="347"/>
      <c r="H22" s="347"/>
      <c r="I22" s="347"/>
      <c r="J22" s="347"/>
      <c r="K22" s="347"/>
      <c r="L22" s="347"/>
      <c r="M22" s="347"/>
      <c r="N22" s="347"/>
      <c r="O22" s="759" t="s">
        <v>222</v>
      </c>
    </row>
    <row r="23" spans="1:15" ht="41.4" hidden="1" x14ac:dyDescent="0.25">
      <c r="A23" s="763" t="s">
        <v>220</v>
      </c>
      <c r="B23" s="648" t="s">
        <v>409</v>
      </c>
      <c r="C23" s="347"/>
      <c r="D23" s="347"/>
      <c r="E23" s="347"/>
      <c r="F23" s="347"/>
      <c r="G23" s="347"/>
      <c r="H23" s="347"/>
      <c r="I23" s="347"/>
      <c r="J23" s="347"/>
      <c r="K23" s="347"/>
      <c r="L23" s="347"/>
      <c r="M23" s="347"/>
      <c r="N23" s="347"/>
    </row>
    <row r="24" spans="1:15" ht="27.6" hidden="1" x14ac:dyDescent="0.25">
      <c r="A24" s="763" t="s">
        <v>193</v>
      </c>
      <c r="B24" s="648" t="s">
        <v>410</v>
      </c>
      <c r="C24" s="347"/>
      <c r="D24" s="347"/>
      <c r="E24" s="347"/>
      <c r="F24" s="347"/>
      <c r="G24" s="347"/>
      <c r="H24" s="347"/>
      <c r="I24" s="347"/>
      <c r="J24" s="347"/>
      <c r="K24" s="347"/>
      <c r="L24" s="347"/>
      <c r="M24" s="347"/>
      <c r="N24" s="347"/>
    </row>
    <row r="25" spans="1:15" ht="41.4" x14ac:dyDescent="0.25">
      <c r="A25" s="761" t="s">
        <v>221</v>
      </c>
      <c r="B25" s="647" t="s">
        <v>411</v>
      </c>
      <c r="C25" s="351">
        <f t="shared" ref="C25:N25" si="3">C16-C17+C18-C23+C24</f>
        <v>0</v>
      </c>
      <c r="D25" s="351">
        <f t="shared" si="3"/>
        <v>960300</v>
      </c>
      <c r="E25" s="351">
        <f t="shared" si="3"/>
        <v>97600</v>
      </c>
      <c r="F25" s="351">
        <f t="shared" si="3"/>
        <v>0</v>
      </c>
      <c r="G25" s="351">
        <f t="shared" si="3"/>
        <v>0</v>
      </c>
      <c r="H25" s="351">
        <f t="shared" si="3"/>
        <v>960300</v>
      </c>
      <c r="I25" s="351">
        <f t="shared" si="3"/>
        <v>112200</v>
      </c>
      <c r="J25" s="351">
        <f t="shared" si="3"/>
        <v>0</v>
      </c>
      <c r="K25" s="351">
        <f t="shared" si="3"/>
        <v>0</v>
      </c>
      <c r="L25" s="351">
        <f t="shared" si="3"/>
        <v>960300</v>
      </c>
      <c r="M25" s="351">
        <f t="shared" si="3"/>
        <v>112200</v>
      </c>
      <c r="N25" s="351">
        <f t="shared" si="3"/>
        <v>0</v>
      </c>
    </row>
    <row r="26" spans="1:15" ht="29.25" customHeight="1" x14ac:dyDescent="0.25">
      <c r="A26" s="1731" t="s">
        <v>611</v>
      </c>
      <c r="B26" s="1732"/>
      <c r="C26" s="1732"/>
      <c r="D26" s="1732"/>
      <c r="E26" s="1732"/>
      <c r="F26" s="1732"/>
      <c r="G26" s="1732"/>
      <c r="H26" s="1732"/>
      <c r="I26" s="1732"/>
      <c r="J26" s="1732"/>
      <c r="K26" s="1732"/>
      <c r="L26" s="1732"/>
      <c r="M26" s="1732"/>
      <c r="N26" s="1733"/>
    </row>
    <row r="27" spans="1:15" hidden="1" x14ac:dyDescent="0.25">
      <c r="A27" s="763" t="s">
        <v>223</v>
      </c>
      <c r="B27" s="648" t="s">
        <v>397</v>
      </c>
      <c r="C27" s="347"/>
      <c r="D27" s="347"/>
      <c r="E27" s="347"/>
      <c r="F27" s="347"/>
      <c r="G27" s="347"/>
      <c r="H27" s="347"/>
      <c r="I27" s="347"/>
      <c r="J27" s="347"/>
      <c r="K27" s="347"/>
      <c r="L27" s="347"/>
      <c r="M27" s="347"/>
      <c r="N27" s="347"/>
    </row>
    <row r="28" spans="1:15" hidden="1" x14ac:dyDescent="0.25">
      <c r="A28" s="763" t="s">
        <v>224</v>
      </c>
      <c r="B28" s="648" t="s">
        <v>398</v>
      </c>
      <c r="C28" s="347"/>
      <c r="D28" s="347"/>
      <c r="E28" s="347"/>
      <c r="F28" s="347"/>
      <c r="G28" s="347"/>
      <c r="H28" s="347"/>
      <c r="I28" s="347"/>
      <c r="J28" s="347"/>
      <c r="K28" s="347"/>
      <c r="L28" s="347"/>
      <c r="M28" s="347"/>
      <c r="N28" s="347"/>
    </row>
    <row r="29" spans="1:15" ht="41.4" x14ac:dyDescent="0.25">
      <c r="A29" s="764" t="s">
        <v>225</v>
      </c>
      <c r="B29" s="649" t="s">
        <v>399</v>
      </c>
      <c r="C29" s="489">
        <f t="shared" ref="C29:N29" si="4">SUM(C30:C32)</f>
        <v>0</v>
      </c>
      <c r="D29" s="489">
        <f t="shared" si="4"/>
        <v>0</v>
      </c>
      <c r="E29" s="489">
        <f>SUM(E30:E32)</f>
        <v>25200</v>
      </c>
      <c r="F29" s="489">
        <f t="shared" si="4"/>
        <v>0</v>
      </c>
      <c r="G29" s="489">
        <f t="shared" si="4"/>
        <v>0</v>
      </c>
      <c r="H29" s="489">
        <f t="shared" si="4"/>
        <v>0</v>
      </c>
      <c r="I29" s="489">
        <f t="shared" si="4"/>
        <v>25200</v>
      </c>
      <c r="J29" s="489">
        <f t="shared" si="4"/>
        <v>0</v>
      </c>
      <c r="K29" s="489">
        <f t="shared" si="4"/>
        <v>0</v>
      </c>
      <c r="L29" s="489">
        <f t="shared" si="4"/>
        <v>0</v>
      </c>
      <c r="M29" s="489">
        <f t="shared" si="4"/>
        <v>105000</v>
      </c>
      <c r="N29" s="489">
        <f t="shared" si="4"/>
        <v>0</v>
      </c>
    </row>
    <row r="30" spans="1:15" ht="96.6" x14ac:dyDescent="0.25">
      <c r="A30" s="509" t="s">
        <v>226</v>
      </c>
      <c r="B30" s="346" t="s">
        <v>422</v>
      </c>
      <c r="C30" s="347"/>
      <c r="D30" s="347"/>
      <c r="E30" s="347">
        <f>'расходы 810 26'!H15</f>
        <v>25200</v>
      </c>
      <c r="F30" s="347">
        <f>'расходы 820 26'!H17+'расходы 820 26'!I17</f>
        <v>0</v>
      </c>
      <c r="G30" s="347"/>
      <c r="H30" s="347"/>
      <c r="I30" s="347">
        <f>'расходы 810 27-28'!H16</f>
        <v>25200</v>
      </c>
      <c r="J30" s="347">
        <f>'расходы 820 27-28'!H18</f>
        <v>0</v>
      </c>
      <c r="K30" s="347"/>
      <c r="L30" s="347"/>
      <c r="M30" s="347">
        <f>'расходы 810 27-28'!K16</f>
        <v>105000</v>
      </c>
      <c r="N30" s="347">
        <f>'расходы 820 27-28'!K18</f>
        <v>0</v>
      </c>
      <c r="O30" s="759">
        <v>966</v>
      </c>
    </row>
    <row r="31" spans="1:15" hidden="1" x14ac:dyDescent="0.25">
      <c r="A31" s="763" t="s">
        <v>227</v>
      </c>
      <c r="B31" s="648" t="s">
        <v>409</v>
      </c>
      <c r="C31" s="347"/>
      <c r="D31" s="347"/>
      <c r="E31" s="347"/>
      <c r="F31" s="347"/>
      <c r="G31" s="347"/>
      <c r="H31" s="347"/>
      <c r="I31" s="347"/>
      <c r="J31" s="347"/>
      <c r="K31" s="347"/>
      <c r="L31" s="347"/>
      <c r="M31" s="347"/>
      <c r="N31" s="347"/>
    </row>
    <row r="32" spans="1:15" hidden="1" x14ac:dyDescent="0.25">
      <c r="A32" s="763" t="s">
        <v>228</v>
      </c>
      <c r="B32" s="648" t="s">
        <v>410</v>
      </c>
      <c r="C32" s="347"/>
      <c r="D32" s="347"/>
      <c r="E32" s="347"/>
      <c r="F32" s="347"/>
      <c r="G32" s="347"/>
      <c r="H32" s="347"/>
      <c r="I32" s="347"/>
      <c r="J32" s="347"/>
      <c r="K32" s="347"/>
      <c r="L32" s="347"/>
      <c r="M32" s="347"/>
      <c r="N32" s="347"/>
    </row>
    <row r="33" spans="1:17" ht="41.4" x14ac:dyDescent="0.25">
      <c r="A33" s="761" t="s">
        <v>221</v>
      </c>
      <c r="B33" s="647" t="s">
        <v>411</v>
      </c>
      <c r="C33" s="351">
        <f t="shared" ref="C33:N33" si="5">C27-C28+C29-C31+C32</f>
        <v>0</v>
      </c>
      <c r="D33" s="351">
        <f t="shared" si="5"/>
        <v>0</v>
      </c>
      <c r="E33" s="351">
        <f t="shared" si="5"/>
        <v>25200</v>
      </c>
      <c r="F33" s="351">
        <f t="shared" si="5"/>
        <v>0</v>
      </c>
      <c r="G33" s="351">
        <f t="shared" si="5"/>
        <v>0</v>
      </c>
      <c r="H33" s="351">
        <f t="shared" si="5"/>
        <v>0</v>
      </c>
      <c r="I33" s="351">
        <f t="shared" si="5"/>
        <v>25200</v>
      </c>
      <c r="J33" s="351">
        <f t="shared" si="5"/>
        <v>0</v>
      </c>
      <c r="K33" s="351">
        <f t="shared" si="5"/>
        <v>0</v>
      </c>
      <c r="L33" s="351">
        <f t="shared" si="5"/>
        <v>0</v>
      </c>
      <c r="M33" s="351">
        <f t="shared" si="5"/>
        <v>105000</v>
      </c>
      <c r="N33" s="351">
        <f t="shared" si="5"/>
        <v>0</v>
      </c>
    </row>
    <row r="34" spans="1:17" ht="31.5" customHeight="1" x14ac:dyDescent="0.25">
      <c r="A34" s="1731" t="s">
        <v>439</v>
      </c>
      <c r="B34" s="1732"/>
      <c r="C34" s="1732"/>
      <c r="D34" s="1732"/>
      <c r="E34" s="1732"/>
      <c r="F34" s="1732"/>
      <c r="G34" s="1732"/>
      <c r="H34" s="1732"/>
      <c r="I34" s="1732"/>
      <c r="J34" s="1732"/>
      <c r="K34" s="1732"/>
      <c r="L34" s="1732"/>
      <c r="M34" s="1732"/>
      <c r="N34" s="1733"/>
    </row>
    <row r="35" spans="1:17" ht="27.6" hidden="1" x14ac:dyDescent="0.25">
      <c r="A35" s="765" t="s">
        <v>195</v>
      </c>
      <c r="B35" s="346" t="s">
        <v>397</v>
      </c>
      <c r="C35" s="347"/>
      <c r="D35" s="347"/>
      <c r="E35" s="347"/>
      <c r="F35" s="347"/>
      <c r="G35" s="347"/>
      <c r="H35" s="347"/>
      <c r="I35" s="347"/>
      <c r="J35" s="347"/>
      <c r="K35" s="347"/>
      <c r="L35" s="347"/>
      <c r="M35" s="347"/>
      <c r="N35" s="347"/>
    </row>
    <row r="36" spans="1:17" ht="27.6" hidden="1" x14ac:dyDescent="0.25">
      <c r="A36" s="765" t="s">
        <v>196</v>
      </c>
      <c r="B36" s="346" t="s">
        <v>398</v>
      </c>
      <c r="C36" s="347"/>
      <c r="D36" s="347"/>
      <c r="E36" s="347"/>
      <c r="F36" s="347"/>
      <c r="G36" s="347"/>
      <c r="H36" s="347"/>
      <c r="I36" s="347"/>
      <c r="J36" s="347"/>
      <c r="K36" s="347"/>
      <c r="L36" s="347"/>
      <c r="M36" s="347"/>
      <c r="N36" s="347"/>
    </row>
    <row r="37" spans="1:17" x14ac:dyDescent="0.25">
      <c r="A37" s="765" t="s">
        <v>197</v>
      </c>
      <c r="B37" s="346" t="s">
        <v>399</v>
      </c>
      <c r="C37" s="347">
        <f>'расходы 831, 841 26'!H15</f>
        <v>11129100</v>
      </c>
      <c r="D37" s="347">
        <v>74400</v>
      </c>
      <c r="E37" s="347">
        <f>'расходы 810 26'!H18+'расходы 810 26'!I18</f>
        <v>17000</v>
      </c>
      <c r="F37" s="347">
        <f>'расходы 820 26'!H20+'расходы 820 26'!I20</f>
        <v>0</v>
      </c>
      <c r="G37" s="347">
        <f>'расходы 831, 841 27-28'!H19</f>
        <v>11129100</v>
      </c>
      <c r="H37" s="347">
        <v>74400</v>
      </c>
      <c r="I37" s="347">
        <f>'расходы 810 27-28'!H18</f>
        <v>17000</v>
      </c>
      <c r="J37" s="347">
        <f>'расходы 820 27-28'!H21</f>
        <v>0</v>
      </c>
      <c r="K37" s="347">
        <f>'расходы 831, 841 27-28'!N19</f>
        <v>11129100</v>
      </c>
      <c r="L37" s="347">
        <f>'расходы 831, 841 27-28'!Q19</f>
        <v>74400</v>
      </c>
      <c r="M37" s="347">
        <f>'расходы 810 27-28'!K18</f>
        <v>17000</v>
      </c>
      <c r="N37" s="347">
        <f>'расходы 820 27-28'!K21</f>
        <v>0</v>
      </c>
      <c r="O37" s="759">
        <v>992</v>
      </c>
    </row>
    <row r="38" spans="1:17" ht="27.6" hidden="1" x14ac:dyDescent="0.25">
      <c r="A38" s="765" t="s">
        <v>198</v>
      </c>
      <c r="B38" s="346" t="s">
        <v>409</v>
      </c>
      <c r="C38" s="347"/>
      <c r="D38" s="347"/>
      <c r="E38" s="347"/>
      <c r="F38" s="347"/>
      <c r="G38" s="347"/>
      <c r="H38" s="347"/>
      <c r="I38" s="347"/>
      <c r="J38" s="347"/>
      <c r="K38" s="347"/>
      <c r="L38" s="347"/>
      <c r="M38" s="347"/>
      <c r="N38" s="347"/>
    </row>
    <row r="39" spans="1:17" ht="27.6" hidden="1" x14ac:dyDescent="0.25">
      <c r="A39" s="765" t="s">
        <v>199</v>
      </c>
      <c r="B39" s="650" t="s">
        <v>410</v>
      </c>
      <c r="C39" s="347"/>
      <c r="D39" s="347"/>
      <c r="E39" s="347"/>
      <c r="F39" s="347"/>
      <c r="G39" s="347"/>
      <c r="H39" s="347"/>
      <c r="I39" s="347"/>
      <c r="J39" s="347"/>
      <c r="K39" s="347"/>
      <c r="L39" s="347"/>
      <c r="M39" s="347"/>
      <c r="N39" s="347"/>
    </row>
    <row r="40" spans="1:17" ht="41.4" x14ac:dyDescent="0.25">
      <c r="A40" s="764" t="s">
        <v>782</v>
      </c>
      <c r="B40" s="649" t="s">
        <v>411</v>
      </c>
      <c r="C40" s="489">
        <f>C35-C36+C37-C38+C39</f>
        <v>11129100</v>
      </c>
      <c r="D40" s="489">
        <f t="shared" ref="D40:N40" si="6">D35-D36+D37-D38+D39</f>
        <v>74400</v>
      </c>
      <c r="E40" s="489">
        <f t="shared" si="6"/>
        <v>17000</v>
      </c>
      <c r="F40" s="489">
        <f t="shared" si="6"/>
        <v>0</v>
      </c>
      <c r="G40" s="489">
        <f t="shared" si="6"/>
        <v>11129100</v>
      </c>
      <c r="H40" s="489">
        <f t="shared" si="6"/>
        <v>74400</v>
      </c>
      <c r="I40" s="489">
        <f t="shared" si="6"/>
        <v>17000</v>
      </c>
      <c r="J40" s="489">
        <f t="shared" si="6"/>
        <v>0</v>
      </c>
      <c r="K40" s="489">
        <f t="shared" si="6"/>
        <v>11129100</v>
      </c>
      <c r="L40" s="489">
        <f t="shared" si="6"/>
        <v>74400</v>
      </c>
      <c r="M40" s="489">
        <f t="shared" si="6"/>
        <v>17000</v>
      </c>
      <c r="N40" s="489">
        <f t="shared" si="6"/>
        <v>0</v>
      </c>
    </row>
    <row r="41" spans="1:17" ht="26.25" customHeight="1" x14ac:dyDescent="0.25">
      <c r="A41" s="1734" t="s">
        <v>612</v>
      </c>
      <c r="B41" s="1735"/>
      <c r="C41" s="1735"/>
      <c r="D41" s="1735"/>
      <c r="E41" s="1735"/>
      <c r="F41" s="1735"/>
      <c r="G41" s="1735"/>
      <c r="H41" s="1735"/>
      <c r="I41" s="1735"/>
      <c r="J41" s="1735"/>
      <c r="K41" s="1735"/>
      <c r="L41" s="1735"/>
      <c r="M41" s="1735"/>
      <c r="N41" s="1736"/>
    </row>
    <row r="42" spans="1:17" ht="41.4" hidden="1" x14ac:dyDescent="0.25">
      <c r="A42" s="763" t="s">
        <v>200</v>
      </c>
      <c r="B42" s="346" t="s">
        <v>397</v>
      </c>
      <c r="C42" s="347"/>
      <c r="D42" s="347"/>
      <c r="E42" s="347"/>
      <c r="F42" s="347"/>
      <c r="G42" s="347"/>
      <c r="H42" s="347"/>
      <c r="I42" s="347"/>
      <c r="J42" s="347"/>
      <c r="K42" s="347"/>
      <c r="L42" s="347"/>
      <c r="M42" s="347"/>
      <c r="N42" s="347"/>
    </row>
    <row r="43" spans="1:17" ht="41.4" hidden="1" x14ac:dyDescent="0.25">
      <c r="A43" s="763" t="s">
        <v>201</v>
      </c>
      <c r="B43" s="346" t="s">
        <v>398</v>
      </c>
      <c r="C43" s="347"/>
      <c r="D43" s="347"/>
      <c r="E43" s="347"/>
      <c r="F43" s="347"/>
      <c r="G43" s="347"/>
      <c r="H43" s="347"/>
      <c r="I43" s="347"/>
      <c r="J43" s="347"/>
      <c r="K43" s="347"/>
      <c r="L43" s="347"/>
      <c r="M43" s="347"/>
      <c r="N43" s="347"/>
    </row>
    <row r="44" spans="1:17" x14ac:dyDescent="0.25">
      <c r="A44" s="761" t="s">
        <v>202</v>
      </c>
      <c r="B44" s="647" t="s">
        <v>399</v>
      </c>
      <c r="C44" s="351">
        <f t="shared" ref="C44:N44" si="7">C46+C47+C48+C49+C50+C51+C52+C54+C55+C56+C57+C58+C59+C60+C53</f>
        <v>5606700</v>
      </c>
      <c r="D44" s="351">
        <f t="shared" si="7"/>
        <v>178600</v>
      </c>
      <c r="E44" s="351">
        <f>E46+E47+E48+E49+E50+E51+E52+E54+E55+E56+E57+E58+E59+E60+E53</f>
        <v>5068700</v>
      </c>
      <c r="F44" s="351">
        <f t="shared" si="7"/>
        <v>0</v>
      </c>
      <c r="G44" s="351">
        <f t="shared" si="7"/>
        <v>5606700</v>
      </c>
      <c r="H44" s="351">
        <f t="shared" si="7"/>
        <v>178600</v>
      </c>
      <c r="I44" s="351">
        <f t="shared" si="7"/>
        <v>5328900</v>
      </c>
      <c r="J44" s="351">
        <f t="shared" si="7"/>
        <v>0</v>
      </c>
      <c r="K44" s="351">
        <f t="shared" si="7"/>
        <v>5606700</v>
      </c>
      <c r="L44" s="351">
        <f t="shared" si="7"/>
        <v>178600</v>
      </c>
      <c r="M44" s="351">
        <f t="shared" si="7"/>
        <v>5511100</v>
      </c>
      <c r="N44" s="351">
        <f t="shared" si="7"/>
        <v>0</v>
      </c>
      <c r="O44" s="793"/>
      <c r="P44" s="792" t="e">
        <f>M44-#REF!</f>
        <v>#REF!</v>
      </c>
      <c r="Q44" s="792"/>
    </row>
    <row r="45" spans="1:17" x14ac:dyDescent="0.25">
      <c r="A45" s="509" t="s">
        <v>203</v>
      </c>
      <c r="B45" s="651"/>
      <c r="C45" s="347"/>
      <c r="D45" s="347"/>
      <c r="E45" s="347"/>
      <c r="F45" s="347"/>
      <c r="G45" s="347"/>
      <c r="H45" s="347"/>
      <c r="I45" s="347"/>
      <c r="J45" s="347"/>
      <c r="K45" s="347"/>
      <c r="L45" s="347"/>
      <c r="M45" s="347"/>
      <c r="N45" s="347"/>
    </row>
    <row r="46" spans="1:17" x14ac:dyDescent="0.25">
      <c r="A46" s="760" t="s">
        <v>205</v>
      </c>
      <c r="B46" s="1051" t="s">
        <v>422</v>
      </c>
      <c r="C46" s="347">
        <f>'расходы 831, 841 26'!H19</f>
        <v>78000</v>
      </c>
      <c r="D46" s="347">
        <f>'расходы 831, 841 26'!I19+'расходы 831, 841 26'!J19</f>
        <v>160000</v>
      </c>
      <c r="E46" s="347">
        <f>'расходы 810 26'!H20+'расходы 810 26'!I20+'расходы 810 26'!J20</f>
        <v>461000</v>
      </c>
      <c r="F46" s="347">
        <f>'расходы 820 26'!H23+'расходы 820 26'!I23</f>
        <v>0</v>
      </c>
      <c r="G46" s="347">
        <f>'расходы 831, 841 27-28'!H22</f>
        <v>78000</v>
      </c>
      <c r="H46" s="347">
        <f>'расходы 831, 841 27-28'!J22</f>
        <v>160000</v>
      </c>
      <c r="I46" s="347">
        <f>'расходы 810 27-28'!H21</f>
        <v>521000</v>
      </c>
      <c r="J46" s="347">
        <f>'расходы 820 27-28'!H24</f>
        <v>0</v>
      </c>
      <c r="K46" s="347">
        <f>'расходы 831, 841 27-28'!N22</f>
        <v>78000</v>
      </c>
      <c r="L46" s="347">
        <f>'расходы 831, 841 27-28'!P22</f>
        <v>160000</v>
      </c>
      <c r="M46" s="347">
        <f>'расходы 810 27-28'!K21</f>
        <v>561000</v>
      </c>
      <c r="N46" s="347">
        <f>'расходы 820 27-28'!K24</f>
        <v>0</v>
      </c>
      <c r="O46" s="759">
        <v>922</v>
      </c>
      <c r="P46" s="792"/>
    </row>
    <row r="47" spans="1:17" x14ac:dyDescent="0.25">
      <c r="A47" s="760" t="s">
        <v>204</v>
      </c>
      <c r="B47" s="1051" t="s">
        <v>424</v>
      </c>
      <c r="C47" s="347">
        <f>'расходы 831, 841 26'!H21</f>
        <v>50000</v>
      </c>
      <c r="D47" s="347">
        <f>'расходы 831, 841 26'!I21+'расходы 831, 841 26'!J21</f>
        <v>0</v>
      </c>
      <c r="E47" s="347">
        <f>'расходы 810 26'!H24+'расходы 810 26'!I24</f>
        <v>165900</v>
      </c>
      <c r="F47" s="347">
        <f>'расходы 820 26'!H25+'расходы 820 26'!I25</f>
        <v>0</v>
      </c>
      <c r="G47" s="347">
        <f>'расходы 831, 841 27-28'!H24</f>
        <v>50000</v>
      </c>
      <c r="H47" s="347"/>
      <c r="I47" s="347">
        <f>'расходы 810 27-28'!H25</f>
        <v>165900</v>
      </c>
      <c r="J47" s="347">
        <f>'расходы 820 27-28'!H25</f>
        <v>0</v>
      </c>
      <c r="K47" s="347">
        <f>'расходы 831, 841 27-28'!N24</f>
        <v>50000</v>
      </c>
      <c r="L47" s="347"/>
      <c r="M47" s="347">
        <f>'расходы 810 27-28'!K25</f>
        <v>175900</v>
      </c>
      <c r="N47" s="347">
        <f>'расходы 820 27-28'!K25</f>
        <v>0</v>
      </c>
      <c r="O47" s="759">
        <v>925</v>
      </c>
      <c r="P47" s="792"/>
    </row>
    <row r="48" spans="1:17" x14ac:dyDescent="0.25">
      <c r="A48" s="760" t="s">
        <v>236</v>
      </c>
      <c r="B48" s="1051" t="s">
        <v>426</v>
      </c>
      <c r="C48" s="347">
        <f>'расходы 831, 841 26'!H27</f>
        <v>58200</v>
      </c>
      <c r="D48" s="347">
        <f>'расходы 831, 841 26'!I27+'расходы 831, 841 26'!J27</f>
        <v>0</v>
      </c>
      <c r="E48" s="347"/>
      <c r="F48" s="347"/>
      <c r="G48" s="347">
        <f>'расходы 831, 841 27-28'!H30</f>
        <v>58200</v>
      </c>
      <c r="H48" s="347"/>
      <c r="I48" s="347"/>
      <c r="J48" s="347"/>
      <c r="K48" s="347">
        <f>'расходы 831, 841 27-28'!N30</f>
        <v>58200</v>
      </c>
      <c r="L48" s="347"/>
      <c r="M48" s="347"/>
      <c r="N48" s="347"/>
      <c r="O48" s="759">
        <v>934</v>
      </c>
      <c r="P48" s="792"/>
    </row>
    <row r="49" spans="1:16" x14ac:dyDescent="0.25">
      <c r="A49" s="760" t="s">
        <v>232</v>
      </c>
      <c r="B49" s="1051" t="s">
        <v>429</v>
      </c>
      <c r="C49" s="347">
        <f>'расходы 831, 841 26'!H25</f>
        <v>1924100</v>
      </c>
      <c r="D49" s="347">
        <f>'расходы 831, 841 26'!I25+'расходы 831, 841 26'!J25</f>
        <v>0</v>
      </c>
      <c r="E49" s="347"/>
      <c r="F49" s="347"/>
      <c r="G49" s="347">
        <f>'расходы 831, 841 27-28'!H28</f>
        <v>1924100</v>
      </c>
      <c r="H49" s="347"/>
      <c r="I49" s="347"/>
      <c r="J49" s="347"/>
      <c r="K49" s="347">
        <f>'расходы 831, 841 27-28'!N28</f>
        <v>1924100</v>
      </c>
      <c r="L49" s="347"/>
      <c r="M49" s="347"/>
      <c r="N49" s="347"/>
      <c r="O49" s="759">
        <v>927</v>
      </c>
      <c r="P49" s="792"/>
    </row>
    <row r="50" spans="1:16" x14ac:dyDescent="0.25">
      <c r="A50" s="760" t="s">
        <v>207</v>
      </c>
      <c r="B50" s="1051" t="s">
        <v>427</v>
      </c>
      <c r="C50" s="347"/>
      <c r="D50" s="347"/>
      <c r="E50" s="347"/>
      <c r="F50" s="347"/>
      <c r="G50" s="347"/>
      <c r="H50" s="347"/>
      <c r="I50" s="347"/>
      <c r="J50" s="347"/>
      <c r="K50" s="347"/>
      <c r="L50" s="347"/>
      <c r="M50" s="347"/>
      <c r="N50" s="347"/>
      <c r="O50" s="759">
        <v>926</v>
      </c>
      <c r="P50" s="792"/>
    </row>
    <row r="51" spans="1:16" ht="39.6" x14ac:dyDescent="0.25">
      <c r="A51" s="914" t="s">
        <v>845</v>
      </c>
      <c r="B51" s="1051" t="s">
        <v>428</v>
      </c>
      <c r="C51" s="347">
        <f>'расходы 831, 841 26'!H28</f>
        <v>635800</v>
      </c>
      <c r="D51" s="347">
        <f>'расходы 831, 841 26'!I28+'расходы 831, 841 26'!J28</f>
        <v>0</v>
      </c>
      <c r="E51" s="347">
        <f>'расходы 810 26'!H28</f>
        <v>452000</v>
      </c>
      <c r="F51" s="347">
        <f>'расходы 820 26'!H27+'расходы 820 26'!I27</f>
        <v>0</v>
      </c>
      <c r="G51" s="347">
        <f>'расходы 831, 841 27-28'!H31</f>
        <v>635800</v>
      </c>
      <c r="H51" s="347"/>
      <c r="I51" s="347">
        <f>'расходы 810 27-28'!H29</f>
        <v>456000</v>
      </c>
      <c r="J51" s="347">
        <f>'расходы 820 27-28'!H27</f>
        <v>0</v>
      </c>
      <c r="K51" s="347">
        <f>'расходы 831, 841 27-28'!N31</f>
        <v>635800</v>
      </c>
      <c r="L51" s="347"/>
      <c r="M51" s="347">
        <f>'расходы 810 27-28'!K29</f>
        <v>454000</v>
      </c>
      <c r="N51" s="347">
        <f>'расходы 820 27-28'!K27</f>
        <v>0</v>
      </c>
      <c r="O51" s="759">
        <v>941</v>
      </c>
      <c r="P51" s="792"/>
    </row>
    <row r="52" spans="1:16" x14ac:dyDescent="0.25">
      <c r="A52" s="760" t="s">
        <v>233</v>
      </c>
      <c r="B52" s="1051" t="s">
        <v>400</v>
      </c>
      <c r="C52" s="347">
        <f>'расходы 831, 841 26'!H35</f>
        <v>2365100</v>
      </c>
      <c r="D52" s="347">
        <f>'расходы 831, 841 26'!I35+'расходы 831, 841 26'!J35</f>
        <v>0</v>
      </c>
      <c r="E52" s="347"/>
      <c r="F52" s="347">
        <f>'расходы 820 26'!H35+'расходы 820 26'!I35</f>
        <v>0</v>
      </c>
      <c r="G52" s="347">
        <f>'расходы 831, 841 27-28'!H38</f>
        <v>2365100</v>
      </c>
      <c r="H52" s="347"/>
      <c r="I52" s="347"/>
      <c r="J52" s="347">
        <f>'расходы 820 27-28'!H35</f>
        <v>0</v>
      </c>
      <c r="K52" s="347">
        <f>'расходы 831, 841 27-28'!N38</f>
        <v>2365100</v>
      </c>
      <c r="L52" s="347"/>
      <c r="M52" s="347"/>
      <c r="N52" s="347">
        <f>'расходы 820 27-28'!K35</f>
        <v>0</v>
      </c>
      <c r="O52" s="759">
        <v>953</v>
      </c>
      <c r="P52" s="792"/>
    </row>
    <row r="53" spans="1:16" x14ac:dyDescent="0.25">
      <c r="A53" s="760" t="s">
        <v>211</v>
      </c>
      <c r="B53" s="1051" t="s">
        <v>420</v>
      </c>
      <c r="C53" s="347">
        <f>'расходы 831, 841 26'!H39</f>
        <v>80000</v>
      </c>
      <c r="D53" s="347">
        <f>'расходы 831, 841 26'!I39+'расходы 831, 841 26'!J39</f>
        <v>0</v>
      </c>
      <c r="E53" s="347">
        <f>'расходы 810 26'!H34+'расходы 810 26'!I34</f>
        <v>624000</v>
      </c>
      <c r="F53" s="347">
        <f>'расходы 820 26'!H39+'расходы 820 26'!I39</f>
        <v>0</v>
      </c>
      <c r="G53" s="347">
        <f>'расходы 831, 841 27-28'!H44</f>
        <v>80000</v>
      </c>
      <c r="H53" s="347"/>
      <c r="I53" s="347">
        <f>'расходы 810 27-28'!H35</f>
        <v>624000</v>
      </c>
      <c r="J53" s="347">
        <f>'расходы 820 27-28'!H39</f>
        <v>0</v>
      </c>
      <c r="K53" s="347">
        <f>'расходы 831, 841 27-28'!N44</f>
        <v>80000</v>
      </c>
      <c r="L53" s="347"/>
      <c r="M53" s="347">
        <f>'расходы 810 27-28'!K35</f>
        <v>678000</v>
      </c>
      <c r="N53" s="347">
        <f>'расходы 820 27-28'!K39</f>
        <v>0</v>
      </c>
      <c r="O53" s="759">
        <v>954</v>
      </c>
      <c r="P53" s="792"/>
    </row>
    <row r="54" spans="1:16" x14ac:dyDescent="0.25">
      <c r="A54" s="760" t="s">
        <v>234</v>
      </c>
      <c r="B54" s="1051" t="s">
        <v>430</v>
      </c>
      <c r="C54" s="347"/>
      <c r="D54" s="347">
        <v>18600</v>
      </c>
      <c r="E54" s="347">
        <f>'расходы 810 26'!H41+'расходы 810 26'!I41</f>
        <v>623000</v>
      </c>
      <c r="F54" s="347">
        <f>'расходы 820 26'!H45+'расходы 820 26'!I45</f>
        <v>0</v>
      </c>
      <c r="G54" s="347"/>
      <c r="H54" s="347">
        <v>18600</v>
      </c>
      <c r="I54" s="347">
        <f>'расходы 810 27-28'!H42</f>
        <v>623000</v>
      </c>
      <c r="J54" s="347">
        <f>'расходы 820 27-28'!H44</f>
        <v>0</v>
      </c>
      <c r="K54" s="347"/>
      <c r="L54" s="347">
        <f>'расходы 831, 841 27-28'!Q42</f>
        <v>18600</v>
      </c>
      <c r="M54" s="347">
        <f>'расходы 810 27-28'!K42</f>
        <v>659000</v>
      </c>
      <c r="N54" s="347">
        <f>'расходы 820 27-28'!K44</f>
        <v>0</v>
      </c>
      <c r="O54" s="759">
        <v>955</v>
      </c>
      <c r="P54" s="792"/>
    </row>
    <row r="55" spans="1:16" x14ac:dyDescent="0.25">
      <c r="A55" s="760" t="s">
        <v>212</v>
      </c>
      <c r="B55" s="1051" t="s">
        <v>421</v>
      </c>
      <c r="C55" s="347">
        <f>'расходы 831, 841 26'!H43</f>
        <v>100000</v>
      </c>
      <c r="D55" s="347">
        <f>'расходы 831, 841 26'!I43+'расходы 831, 841 26'!J43</f>
        <v>0</v>
      </c>
      <c r="E55" s="347">
        <f>'расходы 810 26'!H44+'расходы 810 26'!I44</f>
        <v>480000</v>
      </c>
      <c r="F55" s="347">
        <f>'расходы 820 26'!H47+'расходы 820 26'!I47</f>
        <v>0</v>
      </c>
      <c r="G55" s="347">
        <f>'расходы 831, 841 27-28'!H46</f>
        <v>100000</v>
      </c>
      <c r="H55" s="347"/>
      <c r="I55" s="347">
        <f>'расходы 810 27-28'!H45</f>
        <v>480000</v>
      </c>
      <c r="J55" s="347">
        <f>'расходы 820 27-28'!H46</f>
        <v>0</v>
      </c>
      <c r="K55" s="347">
        <f>'расходы 831, 841 27-28'!N46</f>
        <v>100000</v>
      </c>
      <c r="L55" s="347"/>
      <c r="M55" s="347">
        <f>'расходы 810 27-28'!K45</f>
        <v>480000</v>
      </c>
      <c r="N55" s="347">
        <f>'расходы 820 27-28'!K46</f>
        <v>0</v>
      </c>
      <c r="O55" s="759">
        <v>963</v>
      </c>
      <c r="P55" s="792"/>
    </row>
    <row r="56" spans="1:16" ht="26.4" x14ac:dyDescent="0.25">
      <c r="A56" s="914" t="s">
        <v>850</v>
      </c>
      <c r="B56" s="1051" t="s">
        <v>431</v>
      </c>
      <c r="C56" s="347">
        <f>'расходы 831, 841 26'!H18</f>
        <v>315500</v>
      </c>
      <c r="D56" s="347"/>
      <c r="E56" s="347"/>
      <c r="F56" s="347"/>
      <c r="G56" s="347">
        <f>'расходы 831, 841 27-28'!H21</f>
        <v>315500</v>
      </c>
      <c r="H56" s="347"/>
      <c r="I56" s="347"/>
      <c r="J56" s="347"/>
      <c r="K56" s="347">
        <f>'расходы 831, 841 27-28'!N21</f>
        <v>315500</v>
      </c>
      <c r="L56" s="347"/>
      <c r="M56" s="347"/>
      <c r="N56" s="347"/>
      <c r="O56" s="759">
        <v>919</v>
      </c>
      <c r="P56" s="792"/>
    </row>
    <row r="57" spans="1:16" x14ac:dyDescent="0.25">
      <c r="A57" s="760" t="s">
        <v>208</v>
      </c>
      <c r="B57" s="1051" t="s">
        <v>432</v>
      </c>
      <c r="C57" s="347"/>
      <c r="D57" s="347"/>
      <c r="E57" s="347">
        <f>'расходы 810 26'!H47+'расходы 810 26'!I47</f>
        <v>798300</v>
      </c>
      <c r="F57" s="347">
        <f>'расходы 820 26'!H51+'расходы 820 26'!I51</f>
        <v>0</v>
      </c>
      <c r="G57" s="347"/>
      <c r="H57" s="347"/>
      <c r="I57" s="347">
        <f>'расходы 810 27-28'!H48</f>
        <v>895800</v>
      </c>
      <c r="J57" s="347">
        <f>'расходы 820 27-28'!H50</f>
        <v>0</v>
      </c>
      <c r="K57" s="347"/>
      <c r="L57" s="347"/>
      <c r="M57" s="347">
        <f>'расходы 810 27-28'!K48</f>
        <v>988000</v>
      </c>
      <c r="N57" s="347">
        <f>'расходы 820 27-28'!K50</f>
        <v>0</v>
      </c>
      <c r="O57" s="759">
        <v>971</v>
      </c>
      <c r="P57" s="792"/>
    </row>
    <row r="58" spans="1:16" ht="39.6" x14ac:dyDescent="0.25">
      <c r="A58" s="919" t="s">
        <v>846</v>
      </c>
      <c r="B58" s="1051" t="s">
        <v>401</v>
      </c>
      <c r="C58" s="347"/>
      <c r="D58" s="347"/>
      <c r="E58" s="347">
        <f>'расходы 810 26'!H51+'расходы 810 26'!I51</f>
        <v>1214500</v>
      </c>
      <c r="F58" s="347">
        <f>'расходы 820 26'!H56+'расходы 820 26'!I56</f>
        <v>0</v>
      </c>
      <c r="G58" s="347"/>
      <c r="H58" s="347"/>
      <c r="I58" s="347">
        <f>'расходы 810 27-28'!H52</f>
        <v>1313200</v>
      </c>
      <c r="J58" s="347">
        <f>'расходы 820 27-28'!H52</f>
        <v>0</v>
      </c>
      <c r="K58" s="347"/>
      <c r="L58" s="347"/>
      <c r="M58" s="347">
        <f>'расходы 810 27-28'!K52</f>
        <v>1265200</v>
      </c>
      <c r="N58" s="347">
        <f>'расходы 820 27-28'!K52</f>
        <v>0</v>
      </c>
      <c r="O58" s="759" t="s">
        <v>610</v>
      </c>
      <c r="P58" s="792"/>
    </row>
    <row r="59" spans="1:16" ht="96.6" x14ac:dyDescent="0.25">
      <c r="A59" s="760" t="s">
        <v>226</v>
      </c>
      <c r="B59" s="1051" t="s">
        <v>669</v>
      </c>
      <c r="C59" s="347"/>
      <c r="D59" s="347"/>
      <c r="E59" s="347"/>
      <c r="F59" s="347">
        <f>'расходы 820 26'!H49+'расходы 820 26'!I49</f>
        <v>0</v>
      </c>
      <c r="G59" s="347"/>
      <c r="H59" s="347"/>
      <c r="I59" s="347"/>
      <c r="J59" s="347">
        <f>'расходы 820 27-28'!H48</f>
        <v>0</v>
      </c>
      <c r="K59" s="347"/>
      <c r="L59" s="347"/>
      <c r="M59" s="347"/>
      <c r="N59" s="347">
        <f>'расходы 820 27-28'!K48</f>
        <v>0</v>
      </c>
      <c r="O59" s="759">
        <v>966</v>
      </c>
      <c r="P59" s="792"/>
    </row>
    <row r="60" spans="1:16" x14ac:dyDescent="0.25">
      <c r="A60" s="1096" t="s">
        <v>866</v>
      </c>
      <c r="B60" s="1051" t="s">
        <v>670</v>
      </c>
      <c r="C60" s="347"/>
      <c r="D60" s="347"/>
      <c r="E60" s="347">
        <f>'расходы 810 26'!H32+'расходы 810 26'!I32</f>
        <v>250000</v>
      </c>
      <c r="F60" s="347"/>
      <c r="G60" s="347"/>
      <c r="H60" s="347"/>
      <c r="I60" s="347">
        <f>'расходы 810 27-28'!H33</f>
        <v>250000</v>
      </c>
      <c r="J60" s="347"/>
      <c r="K60" s="347"/>
      <c r="L60" s="347"/>
      <c r="M60" s="347">
        <f>'расходы 810 27-28'!K33</f>
        <v>250000</v>
      </c>
      <c r="N60" s="347"/>
      <c r="O60" s="759">
        <v>944</v>
      </c>
      <c r="P60" s="792"/>
    </row>
    <row r="61" spans="1:16" ht="41.4" hidden="1" x14ac:dyDescent="0.25">
      <c r="A61" s="763" t="s">
        <v>209</v>
      </c>
      <c r="B61" s="648" t="s">
        <v>409</v>
      </c>
      <c r="C61" s="347"/>
      <c r="D61" s="347"/>
      <c r="E61" s="347"/>
      <c r="F61" s="347"/>
      <c r="G61" s="347"/>
      <c r="H61" s="347"/>
      <c r="I61" s="347"/>
      <c r="J61" s="347"/>
      <c r="K61" s="347"/>
      <c r="L61" s="347"/>
      <c r="M61" s="347"/>
      <c r="N61" s="347"/>
    </row>
    <row r="62" spans="1:16" ht="41.4" hidden="1" x14ac:dyDescent="0.25">
      <c r="A62" s="763" t="s">
        <v>210</v>
      </c>
      <c r="B62" s="648" t="s">
        <v>410</v>
      </c>
      <c r="C62" s="347"/>
      <c r="D62" s="347"/>
      <c r="E62" s="347"/>
      <c r="F62" s="347"/>
      <c r="G62" s="347"/>
      <c r="H62" s="347"/>
      <c r="I62" s="347"/>
      <c r="J62" s="347"/>
      <c r="K62" s="347"/>
      <c r="L62" s="347"/>
      <c r="M62" s="347"/>
      <c r="N62" s="347"/>
    </row>
    <row r="63" spans="1:16" ht="27.6" x14ac:dyDescent="0.25">
      <c r="A63" s="761" t="s">
        <v>783</v>
      </c>
      <c r="B63" s="647" t="s">
        <v>411</v>
      </c>
      <c r="C63" s="351">
        <f t="shared" ref="C63:N63" si="8">C42-C43+C44-C61+C62</f>
        <v>5606700</v>
      </c>
      <c r="D63" s="351">
        <f t="shared" si="8"/>
        <v>178600</v>
      </c>
      <c r="E63" s="351">
        <f>E42-E43+E44-E61+E62</f>
        <v>5068700</v>
      </c>
      <c r="F63" s="351">
        <f t="shared" si="8"/>
        <v>0</v>
      </c>
      <c r="G63" s="351">
        <f t="shared" si="8"/>
        <v>5606700</v>
      </c>
      <c r="H63" s="351">
        <f t="shared" si="8"/>
        <v>178600</v>
      </c>
      <c r="I63" s="351">
        <f t="shared" si="8"/>
        <v>5328900</v>
      </c>
      <c r="J63" s="351">
        <f t="shared" si="8"/>
        <v>0</v>
      </c>
      <c r="K63" s="351">
        <f t="shared" si="8"/>
        <v>5606700</v>
      </c>
      <c r="L63" s="351">
        <f t="shared" si="8"/>
        <v>178600</v>
      </c>
      <c r="M63" s="351">
        <f t="shared" si="8"/>
        <v>5511100</v>
      </c>
      <c r="N63" s="351">
        <f t="shared" si="8"/>
        <v>0</v>
      </c>
    </row>
    <row r="64" spans="1:16" ht="22.5" customHeight="1" x14ac:dyDescent="0.25">
      <c r="A64" s="1734" t="s">
        <v>613</v>
      </c>
      <c r="B64" s="1735"/>
      <c r="C64" s="1735"/>
      <c r="D64" s="1735"/>
      <c r="E64" s="1735"/>
      <c r="F64" s="1735"/>
      <c r="G64" s="1735"/>
      <c r="H64" s="1735"/>
      <c r="I64" s="1735"/>
      <c r="J64" s="1735"/>
      <c r="K64" s="1735"/>
      <c r="L64" s="1735"/>
      <c r="M64" s="1735"/>
      <c r="N64" s="1736"/>
    </row>
    <row r="65" spans="1:15" ht="41.4" hidden="1" x14ac:dyDescent="0.25">
      <c r="A65" s="763" t="s">
        <v>200</v>
      </c>
      <c r="B65" s="648" t="s">
        <v>397</v>
      </c>
      <c r="C65" s="347"/>
      <c r="D65" s="347"/>
      <c r="E65" s="347"/>
      <c r="F65" s="347"/>
      <c r="G65" s="347"/>
      <c r="H65" s="347"/>
      <c r="I65" s="347"/>
      <c r="J65" s="347"/>
      <c r="K65" s="347"/>
      <c r="L65" s="347"/>
      <c r="M65" s="347"/>
      <c r="N65" s="347"/>
    </row>
    <row r="66" spans="1:15" ht="41.4" hidden="1" x14ac:dyDescent="0.25">
      <c r="A66" s="763" t="s">
        <v>201</v>
      </c>
      <c r="B66" s="648" t="s">
        <v>398</v>
      </c>
      <c r="C66" s="347"/>
      <c r="D66" s="347"/>
      <c r="E66" s="347"/>
      <c r="F66" s="347"/>
      <c r="G66" s="347"/>
      <c r="H66" s="347"/>
      <c r="I66" s="347"/>
      <c r="J66" s="347"/>
      <c r="K66" s="347"/>
      <c r="L66" s="347"/>
      <c r="M66" s="347"/>
      <c r="N66" s="347"/>
    </row>
    <row r="67" spans="1:15" x14ac:dyDescent="0.25">
      <c r="A67" s="764" t="s">
        <v>202</v>
      </c>
      <c r="B67" s="649" t="s">
        <v>399</v>
      </c>
      <c r="C67" s="489">
        <f>SUM(C69:C70)</f>
        <v>2153200</v>
      </c>
      <c r="D67" s="489">
        <f t="shared" ref="D67:N67" si="9">SUM(D69:D70)</f>
        <v>0</v>
      </c>
      <c r="E67" s="489">
        <f t="shared" si="9"/>
        <v>135000</v>
      </c>
      <c r="F67" s="489">
        <f t="shared" si="9"/>
        <v>0</v>
      </c>
      <c r="G67" s="489">
        <f t="shared" si="9"/>
        <v>2153200</v>
      </c>
      <c r="H67" s="489">
        <f t="shared" si="9"/>
        <v>0</v>
      </c>
      <c r="I67" s="489">
        <f t="shared" si="9"/>
        <v>135000</v>
      </c>
      <c r="J67" s="489">
        <f t="shared" si="9"/>
        <v>0</v>
      </c>
      <c r="K67" s="489">
        <f t="shared" si="9"/>
        <v>2153200</v>
      </c>
      <c r="L67" s="489">
        <f t="shared" si="9"/>
        <v>0</v>
      </c>
      <c r="M67" s="489">
        <f t="shared" si="9"/>
        <v>135000</v>
      </c>
      <c r="N67" s="489">
        <f t="shared" si="9"/>
        <v>0</v>
      </c>
    </row>
    <row r="68" spans="1:15" x14ac:dyDescent="0.25">
      <c r="A68" s="509" t="s">
        <v>203</v>
      </c>
      <c r="B68" s="651"/>
      <c r="C68" s="347"/>
      <c r="D68" s="347"/>
      <c r="E68" s="347"/>
      <c r="F68" s="347"/>
      <c r="G68" s="347"/>
      <c r="H68" s="347"/>
      <c r="I68" s="347"/>
      <c r="J68" s="347"/>
      <c r="K68" s="347"/>
      <c r="L68" s="347"/>
      <c r="M68" s="347"/>
      <c r="N68" s="347"/>
    </row>
    <row r="69" spans="1:15" x14ac:dyDescent="0.25">
      <c r="A69" s="509" t="s">
        <v>206</v>
      </c>
      <c r="B69" s="346" t="s">
        <v>422</v>
      </c>
      <c r="C69" s="347">
        <f>'расходы 831, 841 26'!H45</f>
        <v>2153200</v>
      </c>
      <c r="D69" s="347">
        <f>'расходы 831, 841 26'!I46+'расходы 831, 841 26'!J46+'расходы 831, 841 26'!I50+'расходы 831, 841 26'!J50</f>
        <v>0</v>
      </c>
      <c r="E69" s="347">
        <f>'расходы 810 26'!H63+'расходы 810 26'!I63</f>
        <v>135000</v>
      </c>
      <c r="F69" s="347"/>
      <c r="G69" s="347">
        <f>'расходы 831, 841 27-28'!H48</f>
        <v>2153200</v>
      </c>
      <c r="H69" s="347"/>
      <c r="I69" s="347">
        <f>'расходы 810 27-28'!H64</f>
        <v>135000</v>
      </c>
      <c r="J69" s="347"/>
      <c r="K69" s="347">
        <f>'расходы 831, 841 27-28'!N48</f>
        <v>2153200</v>
      </c>
      <c r="L69" s="347"/>
      <c r="M69" s="347">
        <f>'расходы 810 27-28'!K64</f>
        <v>135000</v>
      </c>
      <c r="N69" s="347"/>
      <c r="O69" s="759" t="s">
        <v>915</v>
      </c>
    </row>
    <row r="70" spans="1:15" x14ac:dyDescent="0.25">
      <c r="A70" s="509" t="s">
        <v>213</v>
      </c>
      <c r="B70" s="346" t="s">
        <v>424</v>
      </c>
      <c r="C70" s="347"/>
      <c r="D70" s="347"/>
      <c r="E70" s="347"/>
      <c r="F70" s="347"/>
      <c r="G70" s="347"/>
      <c r="H70" s="347"/>
      <c r="I70" s="347"/>
      <c r="J70" s="347"/>
      <c r="K70" s="347"/>
      <c r="L70" s="347"/>
      <c r="M70" s="347"/>
      <c r="N70" s="347"/>
    </row>
    <row r="71" spans="1:15" ht="41.4" hidden="1" x14ac:dyDescent="0.25">
      <c r="A71" s="763" t="s">
        <v>209</v>
      </c>
      <c r="B71" s="648" t="s">
        <v>409</v>
      </c>
      <c r="C71" s="347"/>
      <c r="D71" s="347"/>
      <c r="E71" s="347"/>
      <c r="F71" s="347"/>
      <c r="G71" s="347"/>
      <c r="H71" s="347"/>
      <c r="I71" s="347"/>
      <c r="J71" s="347"/>
      <c r="K71" s="347"/>
      <c r="L71" s="347"/>
      <c r="M71" s="347"/>
      <c r="N71" s="347"/>
    </row>
    <row r="72" spans="1:15" ht="41.4" hidden="1" x14ac:dyDescent="0.25">
      <c r="A72" s="763" t="s">
        <v>210</v>
      </c>
      <c r="B72" s="648" t="s">
        <v>410</v>
      </c>
      <c r="C72" s="347"/>
      <c r="D72" s="347"/>
      <c r="E72" s="347"/>
      <c r="F72" s="347"/>
      <c r="G72" s="347"/>
      <c r="H72" s="347"/>
      <c r="I72" s="347"/>
      <c r="J72" s="347"/>
      <c r="K72" s="347"/>
      <c r="L72" s="347"/>
      <c r="M72" s="347"/>
      <c r="N72" s="347"/>
    </row>
    <row r="73" spans="1:15" ht="27.6" x14ac:dyDescent="0.25">
      <c r="A73" s="761" t="s">
        <v>783</v>
      </c>
      <c r="B73" s="647" t="s">
        <v>411</v>
      </c>
      <c r="C73" s="351">
        <f t="shared" ref="C73:N73" si="10">C65-C66+C67-C71+C72</f>
        <v>2153200</v>
      </c>
      <c r="D73" s="351">
        <f>D65-D66+D67-D71+D72</f>
        <v>0</v>
      </c>
      <c r="E73" s="351">
        <f t="shared" si="10"/>
        <v>135000</v>
      </c>
      <c r="F73" s="351">
        <f t="shared" si="10"/>
        <v>0</v>
      </c>
      <c r="G73" s="351">
        <f t="shared" si="10"/>
        <v>2153200</v>
      </c>
      <c r="H73" s="351">
        <f t="shared" si="10"/>
        <v>0</v>
      </c>
      <c r="I73" s="351">
        <f t="shared" si="10"/>
        <v>135000</v>
      </c>
      <c r="J73" s="351">
        <f t="shared" si="10"/>
        <v>0</v>
      </c>
      <c r="K73" s="351">
        <f t="shared" si="10"/>
        <v>2153200</v>
      </c>
      <c r="L73" s="351">
        <f t="shared" si="10"/>
        <v>0</v>
      </c>
      <c r="M73" s="351">
        <f t="shared" si="10"/>
        <v>135000</v>
      </c>
      <c r="N73" s="351">
        <f t="shared" si="10"/>
        <v>0</v>
      </c>
    </row>
    <row r="74" spans="1:15" s="694" customFormat="1" ht="28.5" customHeight="1" x14ac:dyDescent="0.25">
      <c r="A74" s="1728" t="s">
        <v>614</v>
      </c>
      <c r="B74" s="1729"/>
      <c r="C74" s="1729"/>
      <c r="D74" s="1729"/>
      <c r="E74" s="1729"/>
      <c r="F74" s="1729"/>
      <c r="G74" s="1729"/>
      <c r="H74" s="1729"/>
      <c r="I74" s="1729"/>
      <c r="J74" s="1729"/>
      <c r="K74" s="1729"/>
      <c r="L74" s="1729"/>
      <c r="M74" s="1729"/>
      <c r="N74" s="1730"/>
      <c r="O74" s="758"/>
    </row>
    <row r="75" spans="1:15" s="694" customFormat="1" ht="30" hidden="1" customHeight="1" x14ac:dyDescent="0.25">
      <c r="A75" s="766" t="s">
        <v>230</v>
      </c>
      <c r="B75" s="652" t="s">
        <v>397</v>
      </c>
      <c r="C75" s="635"/>
      <c r="D75" s="635"/>
      <c r="E75" s="635"/>
      <c r="F75" s="635"/>
      <c r="G75" s="635"/>
      <c r="H75" s="635"/>
      <c r="I75" s="635"/>
      <c r="J75" s="635"/>
      <c r="K75" s="635"/>
      <c r="L75" s="635"/>
      <c r="M75" s="635"/>
      <c r="N75" s="635"/>
      <c r="O75" s="758"/>
    </row>
    <row r="76" spans="1:15" s="694" customFormat="1" ht="27" hidden="1" customHeight="1" x14ac:dyDescent="0.25">
      <c r="A76" s="766" t="s">
        <v>231</v>
      </c>
      <c r="B76" s="652" t="s">
        <v>398</v>
      </c>
      <c r="C76" s="635"/>
      <c r="D76" s="635"/>
      <c r="E76" s="635"/>
      <c r="F76" s="635"/>
      <c r="G76" s="635"/>
      <c r="H76" s="635"/>
      <c r="I76" s="635"/>
      <c r="J76" s="635"/>
      <c r="K76" s="635"/>
      <c r="L76" s="635"/>
      <c r="M76" s="635"/>
      <c r="N76" s="635"/>
      <c r="O76" s="758"/>
    </row>
    <row r="77" spans="1:15" s="694" customFormat="1" ht="27" customHeight="1" x14ac:dyDescent="0.25">
      <c r="A77" s="764" t="s">
        <v>749</v>
      </c>
      <c r="B77" s="649" t="s">
        <v>399</v>
      </c>
      <c r="C77" s="489">
        <f>SUM(C78:C83)</f>
        <v>0</v>
      </c>
      <c r="D77" s="489">
        <f t="shared" ref="D77:N77" si="11">SUM(D78:D83)</f>
        <v>100000</v>
      </c>
      <c r="E77" s="489">
        <f t="shared" si="11"/>
        <v>0</v>
      </c>
      <c r="F77" s="489">
        <f t="shared" si="11"/>
        <v>0</v>
      </c>
      <c r="G77" s="489">
        <f t="shared" si="11"/>
        <v>0</v>
      </c>
      <c r="H77" s="489">
        <f t="shared" si="11"/>
        <v>100000</v>
      </c>
      <c r="I77" s="489">
        <f t="shared" si="11"/>
        <v>0</v>
      </c>
      <c r="J77" s="489">
        <f t="shared" si="11"/>
        <v>0</v>
      </c>
      <c r="K77" s="489">
        <f t="shared" si="11"/>
        <v>0</v>
      </c>
      <c r="L77" s="489">
        <f t="shared" si="11"/>
        <v>100000</v>
      </c>
      <c r="M77" s="489">
        <f t="shared" si="11"/>
        <v>0</v>
      </c>
      <c r="N77" s="489">
        <f t="shared" si="11"/>
        <v>0</v>
      </c>
      <c r="O77" s="758"/>
    </row>
    <row r="78" spans="1:15" s="694" customFormat="1" ht="27" customHeight="1" x14ac:dyDescent="0.25">
      <c r="A78" s="765" t="s">
        <v>750</v>
      </c>
      <c r="B78" s="650" t="s">
        <v>422</v>
      </c>
      <c r="C78" s="635"/>
      <c r="D78" s="635"/>
      <c r="E78" s="635"/>
      <c r="F78" s="635"/>
      <c r="G78" s="635"/>
      <c r="H78" s="635"/>
      <c r="I78" s="635"/>
      <c r="J78" s="635"/>
      <c r="K78" s="635"/>
      <c r="L78" s="635"/>
      <c r="M78" s="635"/>
      <c r="N78" s="635"/>
      <c r="O78" s="758"/>
    </row>
    <row r="79" spans="1:15" s="694" customFormat="1" ht="27.75" customHeight="1" x14ac:dyDescent="0.25">
      <c r="A79" s="765" t="s">
        <v>751</v>
      </c>
      <c r="B79" s="650" t="s">
        <v>424</v>
      </c>
      <c r="C79" s="635"/>
      <c r="D79" s="635"/>
      <c r="E79" s="635"/>
      <c r="F79" s="635"/>
      <c r="G79" s="635"/>
      <c r="H79" s="635"/>
      <c r="I79" s="635"/>
      <c r="J79" s="635"/>
      <c r="K79" s="635"/>
      <c r="L79" s="635"/>
      <c r="M79" s="635"/>
      <c r="N79" s="635"/>
      <c r="O79" s="758"/>
    </row>
    <row r="80" spans="1:15" s="694" customFormat="1" ht="33.75" customHeight="1" x14ac:dyDescent="0.25">
      <c r="A80" s="765" t="s">
        <v>752</v>
      </c>
      <c r="B80" s="650" t="s">
        <v>425</v>
      </c>
      <c r="C80" s="635"/>
      <c r="D80" s="635"/>
      <c r="E80" s="635"/>
      <c r="F80" s="635"/>
      <c r="G80" s="635"/>
      <c r="H80" s="635"/>
      <c r="I80" s="635"/>
      <c r="J80" s="635"/>
      <c r="K80" s="635"/>
      <c r="L80" s="635"/>
      <c r="M80" s="635"/>
      <c r="N80" s="635"/>
      <c r="O80" s="758"/>
    </row>
    <row r="81" spans="1:15" s="694" customFormat="1" ht="27.75" customHeight="1" x14ac:dyDescent="0.25">
      <c r="A81" s="765" t="s">
        <v>615</v>
      </c>
      <c r="B81" s="650" t="s">
        <v>426</v>
      </c>
      <c r="C81" s="635"/>
      <c r="D81" s="635">
        <f>'расходы 831, 841 26'!I55</f>
        <v>100000</v>
      </c>
      <c r="E81" s="635"/>
      <c r="F81" s="635"/>
      <c r="G81" s="635"/>
      <c r="H81" s="635">
        <f>'расходы 831, 841 27-28'!I60</f>
        <v>100000</v>
      </c>
      <c r="I81" s="635"/>
      <c r="J81" s="635"/>
      <c r="K81" s="635"/>
      <c r="L81" s="635">
        <f>'расходы 831, 841 27-28'!O60</f>
        <v>100000</v>
      </c>
      <c r="M81" s="635"/>
      <c r="N81" s="635"/>
      <c r="O81" s="758">
        <v>917</v>
      </c>
    </row>
    <row r="82" spans="1:15" s="694" customFormat="1" ht="27.75" hidden="1" customHeight="1" x14ac:dyDescent="0.25">
      <c r="A82" s="766" t="s">
        <v>227</v>
      </c>
      <c r="B82" s="652" t="s">
        <v>409</v>
      </c>
      <c r="C82" s="635"/>
      <c r="D82" s="635"/>
      <c r="E82" s="635"/>
      <c r="F82" s="635"/>
      <c r="G82" s="635"/>
      <c r="H82" s="635"/>
      <c r="I82" s="635"/>
      <c r="J82" s="635"/>
      <c r="K82" s="635"/>
      <c r="L82" s="635"/>
      <c r="M82" s="635"/>
      <c r="N82" s="635"/>
      <c r="O82" s="758"/>
    </row>
    <row r="83" spans="1:15" s="694" customFormat="1" ht="27.75" hidden="1" customHeight="1" x14ac:dyDescent="0.25">
      <c r="A83" s="766" t="s">
        <v>228</v>
      </c>
      <c r="B83" s="652" t="s">
        <v>410</v>
      </c>
      <c r="C83" s="635"/>
      <c r="D83" s="635"/>
      <c r="E83" s="635"/>
      <c r="F83" s="635"/>
      <c r="G83" s="635"/>
      <c r="H83" s="635"/>
      <c r="I83" s="635"/>
      <c r="J83" s="635"/>
      <c r="K83" s="635"/>
      <c r="L83" s="635"/>
      <c r="M83" s="635"/>
      <c r="N83" s="635"/>
      <c r="O83" s="758"/>
    </row>
    <row r="84" spans="1:15" s="694" customFormat="1" ht="27.75" customHeight="1" x14ac:dyDescent="0.25">
      <c r="A84" s="761" t="s">
        <v>783</v>
      </c>
      <c r="B84" s="647" t="s">
        <v>411</v>
      </c>
      <c r="C84" s="351">
        <f>C75-C76+C77-C82+C83</f>
        <v>0</v>
      </c>
      <c r="D84" s="351">
        <f t="shared" ref="D84:N84" si="12">D75-D76+D77-D82+D83</f>
        <v>100000</v>
      </c>
      <c r="E84" s="351">
        <f t="shared" si="12"/>
        <v>0</v>
      </c>
      <c r="F84" s="351">
        <f t="shared" si="12"/>
        <v>0</v>
      </c>
      <c r="G84" s="351">
        <f t="shared" si="12"/>
        <v>0</v>
      </c>
      <c r="H84" s="351">
        <f t="shared" si="12"/>
        <v>100000</v>
      </c>
      <c r="I84" s="351">
        <f t="shared" si="12"/>
        <v>0</v>
      </c>
      <c r="J84" s="351">
        <f t="shared" si="12"/>
        <v>0</v>
      </c>
      <c r="K84" s="351">
        <f t="shared" si="12"/>
        <v>0</v>
      </c>
      <c r="L84" s="351">
        <f t="shared" si="12"/>
        <v>100000</v>
      </c>
      <c r="M84" s="351">
        <f t="shared" si="12"/>
        <v>0</v>
      </c>
      <c r="N84" s="351">
        <f t="shared" si="12"/>
        <v>0</v>
      </c>
      <c r="O84" s="758"/>
    </row>
    <row r="85" spans="1:15" s="694" customFormat="1" ht="16.5" customHeight="1" x14ac:dyDescent="0.25">
      <c r="A85" s="1728" t="s">
        <v>652</v>
      </c>
      <c r="B85" s="1729"/>
      <c r="C85" s="1729"/>
      <c r="D85" s="1729"/>
      <c r="E85" s="1729"/>
      <c r="F85" s="1729"/>
      <c r="G85" s="1729"/>
      <c r="H85" s="1729"/>
      <c r="I85" s="1729"/>
      <c r="J85" s="1729"/>
      <c r="K85" s="1729"/>
      <c r="L85" s="1729"/>
      <c r="M85" s="1729"/>
      <c r="N85" s="1730"/>
      <c r="O85" s="758"/>
    </row>
    <row r="86" spans="1:15" s="694" customFormat="1" ht="30.75" hidden="1" customHeight="1" x14ac:dyDescent="0.25">
      <c r="A86" s="766" t="s">
        <v>230</v>
      </c>
      <c r="B86" s="652" t="s">
        <v>397</v>
      </c>
      <c r="C86" s="635"/>
      <c r="D86" s="635"/>
      <c r="E86" s="635"/>
      <c r="F86" s="635"/>
      <c r="G86" s="635"/>
      <c r="H86" s="635"/>
      <c r="I86" s="635"/>
      <c r="J86" s="635"/>
      <c r="K86" s="635"/>
      <c r="L86" s="635"/>
      <c r="M86" s="635"/>
      <c r="N86" s="635"/>
      <c r="O86" s="758"/>
    </row>
    <row r="87" spans="1:15" s="694" customFormat="1" ht="27.75" hidden="1" customHeight="1" x14ac:dyDescent="0.25">
      <c r="A87" s="766" t="s">
        <v>231</v>
      </c>
      <c r="B87" s="652" t="s">
        <v>398</v>
      </c>
      <c r="C87" s="635"/>
      <c r="D87" s="635"/>
      <c r="E87" s="635"/>
      <c r="F87" s="635"/>
      <c r="G87" s="635"/>
      <c r="H87" s="635"/>
      <c r="I87" s="635"/>
      <c r="J87" s="635"/>
      <c r="K87" s="635"/>
      <c r="L87" s="635"/>
      <c r="M87" s="635"/>
      <c r="N87" s="635"/>
      <c r="O87" s="758"/>
    </row>
    <row r="88" spans="1:15" s="694" customFormat="1" ht="21" customHeight="1" x14ac:dyDescent="0.25">
      <c r="A88" s="764" t="s">
        <v>284</v>
      </c>
      <c r="B88" s="649" t="s">
        <v>399</v>
      </c>
      <c r="C88" s="489">
        <f>SUM(C89:C90)</f>
        <v>0</v>
      </c>
      <c r="D88" s="489">
        <f t="shared" ref="D88:N88" si="13">SUM(D89:D90)</f>
        <v>0</v>
      </c>
      <c r="E88" s="489">
        <f t="shared" si="13"/>
        <v>0</v>
      </c>
      <c r="F88" s="489">
        <f t="shared" si="13"/>
        <v>0</v>
      </c>
      <c r="G88" s="489">
        <f t="shared" si="13"/>
        <v>0</v>
      </c>
      <c r="H88" s="489">
        <f t="shared" si="13"/>
        <v>0</v>
      </c>
      <c r="I88" s="489">
        <f>SUM(I89:I90)</f>
        <v>0</v>
      </c>
      <c r="J88" s="489">
        <f t="shared" si="13"/>
        <v>0</v>
      </c>
      <c r="K88" s="489">
        <f t="shared" si="13"/>
        <v>0</v>
      </c>
      <c r="L88" s="489">
        <f t="shared" si="13"/>
        <v>0</v>
      </c>
      <c r="M88" s="489">
        <f t="shared" si="13"/>
        <v>0</v>
      </c>
      <c r="N88" s="489">
        <f t="shared" si="13"/>
        <v>0</v>
      </c>
      <c r="O88" s="758">
        <v>850</v>
      </c>
    </row>
    <row r="89" spans="1:15" s="694" customFormat="1" ht="21" customHeight="1" x14ac:dyDescent="0.25">
      <c r="A89" s="767" t="s">
        <v>285</v>
      </c>
      <c r="B89" s="650" t="s">
        <v>422</v>
      </c>
      <c r="C89" s="635"/>
      <c r="D89" s="635"/>
      <c r="E89" s="635"/>
      <c r="F89" s="635"/>
      <c r="G89" s="635"/>
      <c r="H89" s="635"/>
      <c r="I89" s="635"/>
      <c r="J89" s="635"/>
      <c r="K89" s="635"/>
      <c r="L89" s="635"/>
      <c r="M89" s="635"/>
      <c r="N89" s="635"/>
      <c r="O89" s="758">
        <v>852</v>
      </c>
    </row>
    <row r="90" spans="1:15" s="694" customFormat="1" ht="45" customHeight="1" x14ac:dyDescent="0.25">
      <c r="A90" s="767" t="s">
        <v>286</v>
      </c>
      <c r="B90" s="650" t="s">
        <v>424</v>
      </c>
      <c r="C90" s="635"/>
      <c r="D90" s="635"/>
      <c r="E90" s="635"/>
      <c r="F90" s="635"/>
      <c r="G90" s="635"/>
      <c r="H90" s="635"/>
      <c r="I90" s="635"/>
      <c r="J90" s="635"/>
      <c r="K90" s="635"/>
      <c r="L90" s="635"/>
      <c r="M90" s="635"/>
      <c r="N90" s="635"/>
      <c r="O90" s="758">
        <v>853</v>
      </c>
    </row>
    <row r="91" spans="1:15" s="694" customFormat="1" ht="21" customHeight="1" x14ac:dyDescent="0.25">
      <c r="A91" s="766" t="s">
        <v>287</v>
      </c>
      <c r="B91" s="652" t="s">
        <v>425</v>
      </c>
      <c r="C91" s="635"/>
      <c r="D91" s="635"/>
      <c r="E91" s="635"/>
      <c r="F91" s="635"/>
      <c r="G91" s="635"/>
      <c r="H91" s="635"/>
      <c r="I91" s="635"/>
      <c r="J91" s="635"/>
      <c r="K91" s="635"/>
      <c r="L91" s="635"/>
      <c r="M91" s="635"/>
      <c r="N91" s="635"/>
      <c r="O91" s="758"/>
    </row>
    <row r="92" spans="1:15" s="694" customFormat="1" ht="21" customHeight="1" x14ac:dyDescent="0.25">
      <c r="A92" s="766" t="s">
        <v>288</v>
      </c>
      <c r="B92" s="652" t="s">
        <v>426</v>
      </c>
      <c r="C92" s="635"/>
      <c r="D92" s="635"/>
      <c r="E92" s="635"/>
      <c r="F92" s="635"/>
      <c r="G92" s="635"/>
      <c r="H92" s="635"/>
      <c r="I92" s="635"/>
      <c r="J92" s="635"/>
      <c r="K92" s="635"/>
      <c r="L92" s="635"/>
      <c r="M92" s="635"/>
      <c r="N92" s="635"/>
      <c r="O92" s="758"/>
    </row>
    <row r="93" spans="1:15" s="694" customFormat="1" ht="21" customHeight="1" x14ac:dyDescent="0.25">
      <c r="A93" s="766" t="s">
        <v>289</v>
      </c>
      <c r="B93" s="652" t="s">
        <v>429</v>
      </c>
      <c r="C93" s="635"/>
      <c r="D93" s="635"/>
      <c r="E93" s="635"/>
      <c r="F93" s="635"/>
      <c r="G93" s="635"/>
      <c r="H93" s="635"/>
      <c r="I93" s="635"/>
      <c r="J93" s="635"/>
      <c r="K93" s="635"/>
      <c r="L93" s="635"/>
      <c r="M93" s="635"/>
      <c r="N93" s="635"/>
      <c r="O93" s="758"/>
    </row>
    <row r="94" spans="1:15" s="694" customFormat="1" ht="27.75" hidden="1" customHeight="1" x14ac:dyDescent="0.25">
      <c r="A94" s="766" t="s">
        <v>227</v>
      </c>
      <c r="B94" s="652" t="s">
        <v>409</v>
      </c>
      <c r="C94" s="635"/>
      <c r="D94" s="635"/>
      <c r="E94" s="635"/>
      <c r="F94" s="635"/>
      <c r="G94" s="635"/>
      <c r="H94" s="635"/>
      <c r="I94" s="635"/>
      <c r="J94" s="635"/>
      <c r="K94" s="635"/>
      <c r="L94" s="635"/>
      <c r="M94" s="635"/>
      <c r="N94" s="635"/>
      <c r="O94" s="758"/>
    </row>
    <row r="95" spans="1:15" s="694" customFormat="1" ht="27.75" hidden="1" customHeight="1" x14ac:dyDescent="0.25">
      <c r="A95" s="766" t="s">
        <v>228</v>
      </c>
      <c r="B95" s="652" t="s">
        <v>410</v>
      </c>
      <c r="C95" s="635"/>
      <c r="D95" s="635"/>
      <c r="E95" s="635"/>
      <c r="F95" s="635"/>
      <c r="G95" s="635"/>
      <c r="H95" s="635"/>
      <c r="I95" s="635"/>
      <c r="J95" s="635"/>
      <c r="K95" s="635"/>
      <c r="L95" s="635"/>
      <c r="M95" s="635"/>
      <c r="N95" s="635"/>
      <c r="O95" s="758"/>
    </row>
    <row r="96" spans="1:15" s="694" customFormat="1" ht="27.75" customHeight="1" x14ac:dyDescent="0.25">
      <c r="A96" s="761" t="s">
        <v>783</v>
      </c>
      <c r="B96" s="647" t="s">
        <v>411</v>
      </c>
      <c r="C96" s="351">
        <f>C86-C87+C88-C94+C95</f>
        <v>0</v>
      </c>
      <c r="D96" s="351">
        <f t="shared" ref="D96:N96" si="14">D86-D87+D88-D94+D95</f>
        <v>0</v>
      </c>
      <c r="E96" s="351">
        <f t="shared" si="14"/>
        <v>0</v>
      </c>
      <c r="F96" s="351">
        <f t="shared" si="14"/>
        <v>0</v>
      </c>
      <c r="G96" s="351">
        <f t="shared" si="14"/>
        <v>0</v>
      </c>
      <c r="H96" s="351">
        <f t="shared" si="14"/>
        <v>0</v>
      </c>
      <c r="I96" s="351">
        <f t="shared" si="14"/>
        <v>0</v>
      </c>
      <c r="J96" s="351">
        <f t="shared" si="14"/>
        <v>0</v>
      </c>
      <c r="K96" s="351">
        <f t="shared" si="14"/>
        <v>0</v>
      </c>
      <c r="L96" s="351">
        <f t="shared" si="14"/>
        <v>0</v>
      </c>
      <c r="M96" s="351">
        <f t="shared" si="14"/>
        <v>0</v>
      </c>
      <c r="N96" s="351">
        <f t="shared" si="14"/>
        <v>0</v>
      </c>
      <c r="O96" s="758"/>
    </row>
    <row r="97" spans="1:15" s="770" customFormat="1" ht="28.5" customHeight="1" x14ac:dyDescent="0.25">
      <c r="A97" s="768" t="s">
        <v>97</v>
      </c>
      <c r="B97" s="1131"/>
      <c r="C97" s="1132">
        <f t="shared" ref="C97:N97" si="15">C11+C18+C29+C37+C44+C67+C77</f>
        <v>55740300</v>
      </c>
      <c r="D97" s="1132">
        <f t="shared" si="15"/>
        <v>1559600</v>
      </c>
      <c r="E97" s="1132">
        <f t="shared" si="15"/>
        <v>5343500</v>
      </c>
      <c r="F97" s="1132">
        <f t="shared" si="15"/>
        <v>0</v>
      </c>
      <c r="G97" s="1132">
        <f t="shared" si="15"/>
        <v>55740300</v>
      </c>
      <c r="H97" s="1132">
        <f t="shared" si="15"/>
        <v>1559600</v>
      </c>
      <c r="I97" s="1133">
        <f t="shared" si="15"/>
        <v>5618300</v>
      </c>
      <c r="J97" s="1132">
        <f t="shared" si="15"/>
        <v>0</v>
      </c>
      <c r="K97" s="1132">
        <f t="shared" si="15"/>
        <v>55740300</v>
      </c>
      <c r="L97" s="1132">
        <f t="shared" si="15"/>
        <v>1559600</v>
      </c>
      <c r="M97" s="1133">
        <f t="shared" si="15"/>
        <v>5880300</v>
      </c>
      <c r="N97" s="1132">
        <f t="shared" si="15"/>
        <v>0</v>
      </c>
      <c r="O97" s="769"/>
    </row>
    <row r="98" spans="1:15" x14ac:dyDescent="0.25">
      <c r="C98" s="807">
        <f>'поступления 831, 841 26-28'!F10</f>
        <v>55740300</v>
      </c>
      <c r="D98" s="653">
        <f>'поступления 831, 841 26-28'!F23</f>
        <v>1559600</v>
      </c>
      <c r="E98" s="653">
        <f>'поступления 810 26-28'!H82+'поступления 810 26-28'!I82+'прочие поступ строка 1980 (510)'!E21</f>
        <v>5343500</v>
      </c>
      <c r="F98" s="653">
        <f>'постуления 820 26-28'!H12</f>
        <v>0</v>
      </c>
      <c r="G98" s="653">
        <f>'поступления 831, 841 26-28'!H10</f>
        <v>55740300</v>
      </c>
      <c r="H98" s="653">
        <f>'поступления 831, 841 26-28'!J23</f>
        <v>1559600</v>
      </c>
      <c r="I98" s="930">
        <f>'поступления 810 26-28'!J82</f>
        <v>5618300</v>
      </c>
      <c r="J98" s="653">
        <f>'постуления 820 26-28'!J12</f>
        <v>0</v>
      </c>
      <c r="K98" s="653">
        <f>'поступления 831, 841 26-28'!I10</f>
        <v>55740300</v>
      </c>
      <c r="L98" s="653">
        <f>'поступления 831, 841 26-28'!L23</f>
        <v>1559600</v>
      </c>
      <c r="M98" s="930">
        <f>'поступления 810 26-28'!K82</f>
        <v>5880300</v>
      </c>
      <c r="N98" s="653">
        <v>0</v>
      </c>
    </row>
    <row r="99" spans="1:15" x14ac:dyDescent="0.25">
      <c r="A99" s="345" t="s">
        <v>128</v>
      </c>
      <c r="C99" s="653">
        <f>C97-C98</f>
        <v>0</v>
      </c>
      <c r="D99" s="653">
        <f>D97-D98</f>
        <v>0</v>
      </c>
      <c r="E99" s="653">
        <f>E97-E98</f>
        <v>0</v>
      </c>
      <c r="F99" s="653">
        <f t="shared" ref="F99:N99" si="16">F97-F98</f>
        <v>0</v>
      </c>
      <c r="G99" s="653">
        <f>G97-G98</f>
        <v>0</v>
      </c>
      <c r="H99" s="653">
        <f>H97-H98</f>
        <v>0</v>
      </c>
      <c r="I99" s="930">
        <f>I97-I98</f>
        <v>0</v>
      </c>
      <c r="J99" s="653">
        <f t="shared" si="16"/>
        <v>0</v>
      </c>
      <c r="K99" s="653">
        <f>K97-K98</f>
        <v>0</v>
      </c>
      <c r="L99" s="653">
        <f>L97-L98</f>
        <v>0</v>
      </c>
      <c r="M99" s="930">
        <f>M97-M98</f>
        <v>0</v>
      </c>
      <c r="N99" s="653">
        <f t="shared" si="16"/>
        <v>0</v>
      </c>
    </row>
  </sheetData>
  <mergeCells count="16">
    <mergeCell ref="A8:N8"/>
    <mergeCell ref="A15:N15"/>
    <mergeCell ref="A1:N1"/>
    <mergeCell ref="A2:N2"/>
    <mergeCell ref="A4:A6"/>
    <mergeCell ref="B4:B6"/>
    <mergeCell ref="C4:N4"/>
    <mergeCell ref="C5:F5"/>
    <mergeCell ref="G5:J5"/>
    <mergeCell ref="K5:N5"/>
    <mergeCell ref="A74:N74"/>
    <mergeCell ref="A85:N85"/>
    <mergeCell ref="A26:N26"/>
    <mergeCell ref="A34:N34"/>
    <mergeCell ref="A41:N41"/>
    <mergeCell ref="A64:N64"/>
  </mergeCells>
  <pageMargins left="1.1811023622047245" right="0.39370078740157483" top="1.1811023622047245" bottom="0.31496062992125984" header="0.31496062992125984" footer="0.31496062992125984"/>
  <pageSetup paperSize="9" scale="3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187"/>
  <sheetViews>
    <sheetView showGridLines="0" view="pageBreakPreview" zoomScale="70" zoomScaleNormal="100" zoomScaleSheetLayoutView="70" workbookViewId="0">
      <pane xSplit="5" ySplit="8" topLeftCell="F9" activePane="bottomRight" state="frozen"/>
      <selection pane="topRight" activeCell="F1" sqref="F1"/>
      <selection pane="bottomLeft" activeCell="A10" sqref="A10"/>
      <selection pane="bottomRight" activeCell="J12" sqref="J12"/>
    </sheetView>
  </sheetViews>
  <sheetFormatPr defaultColWidth="9.33203125" defaultRowHeight="13.2" x14ac:dyDescent="0.25"/>
  <cols>
    <col min="1" max="1" width="12" style="784" customWidth="1"/>
    <col min="2" max="3" width="9.33203125" style="784"/>
    <col min="4" max="4" width="51.109375" style="785" customWidth="1"/>
    <col min="5" max="5" width="11.33203125" style="786" customWidth="1"/>
    <col min="6" max="6" width="11.109375" style="787" customWidth="1"/>
    <col min="7" max="7" width="15.77734375" style="788" customWidth="1"/>
    <col min="8" max="8" width="25.33203125" style="788" customWidth="1"/>
    <col min="9" max="9" width="21.6640625" style="788" customWidth="1"/>
    <col min="10" max="10" width="19.109375" style="788" customWidth="1"/>
    <col min="11" max="11" width="21.6640625" style="788" customWidth="1"/>
    <col min="12" max="12" width="27.6640625" style="817" customWidth="1"/>
    <col min="13" max="13" width="70.77734375" style="817" customWidth="1"/>
    <col min="14" max="14" width="16.6640625" style="801" customWidth="1"/>
    <col min="15" max="15" width="17.33203125" style="801" customWidth="1"/>
    <col min="16" max="16" width="17.109375" style="801" customWidth="1"/>
    <col min="17" max="17" width="36.44140625" style="817" customWidth="1"/>
    <col min="18" max="18" width="58.77734375" style="1192" customWidth="1"/>
    <col min="19" max="22" width="9.33203125" style="528"/>
    <col min="23" max="16384" width="9.33203125" style="529"/>
  </cols>
  <sheetData>
    <row r="1" spans="1:22" ht="16.8" x14ac:dyDescent="0.25">
      <c r="A1" s="1812" t="s">
        <v>917</v>
      </c>
      <c r="B1" s="1812"/>
      <c r="C1" s="1812"/>
      <c r="D1" s="1812"/>
      <c r="E1" s="1812"/>
      <c r="F1" s="1812"/>
      <c r="G1" s="1812"/>
      <c r="H1" s="1812"/>
      <c r="I1" s="1812"/>
      <c r="J1" s="1812"/>
      <c r="K1" s="1812"/>
    </row>
    <row r="2" spans="1:22" ht="16.8" x14ac:dyDescent="0.25">
      <c r="A2" s="1812" t="s">
        <v>774</v>
      </c>
      <c r="B2" s="1812"/>
      <c r="C2" s="1812"/>
      <c r="D2" s="1812"/>
      <c r="E2" s="1812"/>
      <c r="F2" s="1812"/>
      <c r="G2" s="1812"/>
      <c r="H2" s="1812"/>
      <c r="I2" s="1812"/>
      <c r="J2" s="1812"/>
      <c r="K2" s="1812"/>
    </row>
    <row r="3" spans="1:22" ht="15.6" x14ac:dyDescent="0.25">
      <c r="A3" s="1746" t="s">
        <v>775</v>
      </c>
      <c r="B3" s="1746"/>
      <c r="C3" s="1746"/>
      <c r="D3" s="1746"/>
      <c r="E3" s="1746"/>
      <c r="F3" s="1746"/>
      <c r="G3" s="1746"/>
      <c r="H3" s="1746"/>
      <c r="I3" s="1746"/>
      <c r="J3" s="1746"/>
      <c r="K3" s="1264"/>
    </row>
    <row r="4" spans="1:22" s="573" customFormat="1" ht="12.75" customHeight="1" x14ac:dyDescent="0.25">
      <c r="A4" s="1747" t="s">
        <v>621</v>
      </c>
      <c r="B4" s="1747" t="s">
        <v>332</v>
      </c>
      <c r="C4" s="1747" t="s">
        <v>676</v>
      </c>
      <c r="D4" s="1748" t="s">
        <v>175</v>
      </c>
      <c r="E4" s="1748" t="s">
        <v>180</v>
      </c>
      <c r="F4" s="1789" t="s">
        <v>692</v>
      </c>
      <c r="G4" s="1790"/>
      <c r="H4" s="1790"/>
      <c r="I4" s="1790"/>
      <c r="J4" s="1790"/>
      <c r="K4" s="1791"/>
      <c r="L4" s="1786" t="s">
        <v>175</v>
      </c>
      <c r="M4" s="1778" t="s">
        <v>799</v>
      </c>
      <c r="N4" s="1778" t="s">
        <v>880</v>
      </c>
      <c r="O4" s="1778" t="s">
        <v>902</v>
      </c>
      <c r="P4" s="1783" t="s">
        <v>800</v>
      </c>
      <c r="Q4" s="1749" t="s">
        <v>817</v>
      </c>
      <c r="R4" s="1191"/>
      <c r="S4" s="572"/>
      <c r="T4" s="572"/>
      <c r="U4" s="572"/>
      <c r="V4" s="572"/>
    </row>
    <row r="5" spans="1:22" s="573" customFormat="1" x14ac:dyDescent="0.25">
      <c r="A5" s="1747"/>
      <c r="B5" s="1747"/>
      <c r="C5" s="1747"/>
      <c r="D5" s="1748"/>
      <c r="E5" s="1748"/>
      <c r="F5" s="1749" t="s">
        <v>682</v>
      </c>
      <c r="G5" s="1749" t="s">
        <v>679</v>
      </c>
      <c r="H5" s="1792" t="s">
        <v>685</v>
      </c>
      <c r="I5" s="1793"/>
      <c r="J5" s="1793"/>
      <c r="K5" s="1794"/>
      <c r="L5" s="1787"/>
      <c r="M5" s="1779"/>
      <c r="N5" s="1779"/>
      <c r="O5" s="1779"/>
      <c r="P5" s="1784"/>
      <c r="Q5" s="1749"/>
      <c r="R5" s="1191"/>
      <c r="S5" s="572"/>
      <c r="T5" s="572"/>
      <c r="U5" s="572"/>
      <c r="V5" s="572"/>
    </row>
    <row r="6" spans="1:22" s="573" customFormat="1" ht="25.5" customHeight="1" x14ac:dyDescent="0.25">
      <c r="A6" s="1747"/>
      <c r="B6" s="1747"/>
      <c r="C6" s="1747"/>
      <c r="D6" s="1748"/>
      <c r="E6" s="1748"/>
      <c r="F6" s="1749"/>
      <c r="G6" s="1749"/>
      <c r="H6" s="1781" t="s">
        <v>702</v>
      </c>
      <c r="I6" s="1795" t="s">
        <v>681</v>
      </c>
      <c r="J6" s="1796"/>
      <c r="K6" s="1797"/>
      <c r="L6" s="1787"/>
      <c r="M6" s="1779"/>
      <c r="N6" s="1779"/>
      <c r="O6" s="1779"/>
      <c r="P6" s="1784"/>
      <c r="Q6" s="1749"/>
      <c r="R6" s="1191"/>
      <c r="S6" s="572"/>
      <c r="T6" s="572"/>
      <c r="U6" s="572"/>
      <c r="V6" s="572"/>
    </row>
    <row r="7" spans="1:22" s="772" customFormat="1" ht="99" customHeight="1" x14ac:dyDescent="0.25">
      <c r="A7" s="1747"/>
      <c r="B7" s="1747"/>
      <c r="C7" s="1747"/>
      <c r="D7" s="1748"/>
      <c r="E7" s="1748"/>
      <c r="F7" s="1749"/>
      <c r="G7" s="1749"/>
      <c r="H7" s="1782"/>
      <c r="I7" s="1116" t="s">
        <v>680</v>
      </c>
      <c r="J7" s="1116" t="s">
        <v>757</v>
      </c>
      <c r="K7" s="1268" t="s">
        <v>898</v>
      </c>
      <c r="L7" s="1788"/>
      <c r="M7" s="1780"/>
      <c r="N7" s="1780"/>
      <c r="O7" s="1780"/>
      <c r="P7" s="1785"/>
      <c r="Q7" s="1749"/>
      <c r="R7" s="1193"/>
      <c r="S7" s="776"/>
      <c r="T7" s="776"/>
      <c r="U7" s="776"/>
      <c r="V7" s="776"/>
    </row>
    <row r="8" spans="1:22" s="772" customFormat="1" ht="29.25" customHeight="1" x14ac:dyDescent="0.25">
      <c r="A8" s="1772" t="s">
        <v>438</v>
      </c>
      <c r="B8" s="1772"/>
      <c r="C8" s="1772"/>
      <c r="D8" s="1772"/>
      <c r="E8" s="1773"/>
      <c r="F8" s="543"/>
      <c r="G8" s="543"/>
      <c r="H8" s="543">
        <f>H9</f>
        <v>36851300</v>
      </c>
      <c r="I8" s="543">
        <f t="shared" ref="I8:J8" si="0">I9</f>
        <v>0</v>
      </c>
      <c r="J8" s="543">
        <f t="shared" si="0"/>
        <v>0</v>
      </c>
      <c r="K8" s="567">
        <f>K9</f>
        <v>246300</v>
      </c>
      <c r="L8" s="1774"/>
      <c r="M8" s="1775"/>
      <c r="N8" s="1775"/>
      <c r="O8" s="1775"/>
      <c r="P8" s="1775"/>
      <c r="Q8" s="1775"/>
      <c r="R8" s="1193"/>
      <c r="S8" s="776"/>
      <c r="T8" s="776"/>
      <c r="U8" s="776"/>
      <c r="V8" s="776"/>
    </row>
    <row r="9" spans="1:22" s="778" customFormat="1" x14ac:dyDescent="0.25">
      <c r="A9" s="1122"/>
      <c r="B9" s="1122"/>
      <c r="C9" s="1122">
        <v>991</v>
      </c>
      <c r="D9" s="553" t="s">
        <v>672</v>
      </c>
      <c r="E9" s="561"/>
      <c r="F9" s="581"/>
      <c r="G9" s="545"/>
      <c r="H9" s="544">
        <f>H10+H11</f>
        <v>36851300</v>
      </c>
      <c r="I9" s="545">
        <f t="shared" ref="I9:J9" si="1">I10+I11</f>
        <v>0</v>
      </c>
      <c r="J9" s="545">
        <f t="shared" si="1"/>
        <v>0</v>
      </c>
      <c r="K9" s="545">
        <f>K10</f>
        <v>246300</v>
      </c>
      <c r="L9" s="1763"/>
      <c r="M9" s="1764"/>
      <c r="N9" s="1764"/>
      <c r="O9" s="1764"/>
      <c r="P9" s="1764"/>
      <c r="Q9" s="1764"/>
      <c r="R9" s="1191"/>
      <c r="S9" s="777"/>
      <c r="T9" s="777"/>
      <c r="U9" s="777"/>
      <c r="V9" s="777"/>
    </row>
    <row r="10" spans="1:22" s="573" customFormat="1" x14ac:dyDescent="0.25">
      <c r="A10" s="535">
        <v>111</v>
      </c>
      <c r="B10" s="535">
        <v>211</v>
      </c>
      <c r="C10" s="535">
        <v>991</v>
      </c>
      <c r="D10" s="554" t="s">
        <v>703</v>
      </c>
      <c r="E10" s="1504" t="s">
        <v>683</v>
      </c>
      <c r="F10" s="547">
        <v>38.049999999999997</v>
      </c>
      <c r="G10" s="547">
        <f>(H10+I10+J10+K10)/F10</f>
        <v>972057.82</v>
      </c>
      <c r="H10" s="546">
        <f>36851300-110800</f>
        <v>36740500</v>
      </c>
      <c r="I10" s="547"/>
      <c r="J10" s="547"/>
      <c r="K10" s="803">
        <f>246300</f>
        <v>246300</v>
      </c>
      <c r="L10" s="1763"/>
      <c r="M10" s="1764"/>
      <c r="N10" s="1764"/>
      <c r="O10" s="1764"/>
      <c r="P10" s="1764"/>
      <c r="Q10" s="1764"/>
      <c r="R10" s="1191"/>
      <c r="S10" s="572"/>
      <c r="T10" s="572"/>
      <c r="U10" s="572"/>
      <c r="V10" s="572"/>
    </row>
    <row r="11" spans="1:22" s="573" customFormat="1" x14ac:dyDescent="0.25">
      <c r="A11" s="536">
        <v>111</v>
      </c>
      <c r="B11" s="536">
        <v>266</v>
      </c>
      <c r="C11" s="536">
        <v>991</v>
      </c>
      <c r="D11" s="485" t="s">
        <v>677</v>
      </c>
      <c r="E11" s="1505" t="s">
        <v>683</v>
      </c>
      <c r="F11" s="549">
        <v>38.049999999999997</v>
      </c>
      <c r="G11" s="549">
        <f>(H11+I11+J11)/F11</f>
        <v>2911.96</v>
      </c>
      <c r="H11" s="548">
        <f>110800</f>
        <v>110800</v>
      </c>
      <c r="I11" s="549"/>
      <c r="J11" s="549"/>
      <c r="K11" s="549"/>
      <c r="L11" s="1763"/>
      <c r="M11" s="1764"/>
      <c r="N11" s="1764"/>
      <c r="O11" s="1764"/>
      <c r="P11" s="1764"/>
      <c r="Q11" s="1764"/>
      <c r="R11" s="1191"/>
      <c r="S11" s="572"/>
      <c r="T11" s="572"/>
      <c r="U11" s="572"/>
      <c r="V11" s="572"/>
    </row>
    <row r="12" spans="1:22" ht="39" customHeight="1" x14ac:dyDescent="0.25">
      <c r="A12" s="1754" t="s">
        <v>440</v>
      </c>
      <c r="B12" s="1755"/>
      <c r="C12" s="1755"/>
      <c r="D12" s="1755"/>
      <c r="E12" s="1755"/>
      <c r="F12" s="550"/>
      <c r="G12" s="550"/>
      <c r="H12" s="999">
        <f>H13</f>
        <v>0</v>
      </c>
      <c r="I12" s="550">
        <f>SUM(I13:I13)</f>
        <v>960300</v>
      </c>
      <c r="J12" s="999">
        <f>J13</f>
        <v>0</v>
      </c>
      <c r="K12" s="550"/>
      <c r="L12" s="1763"/>
      <c r="M12" s="1764"/>
      <c r="N12" s="1764"/>
      <c r="O12" s="1764"/>
      <c r="P12" s="1764"/>
      <c r="Q12" s="1764"/>
    </row>
    <row r="13" spans="1:22" s="573" customFormat="1" ht="30.75" customHeight="1" x14ac:dyDescent="0.25">
      <c r="A13" s="1250">
        <v>112</v>
      </c>
      <c r="B13" s="1250">
        <v>214</v>
      </c>
      <c r="C13" s="1250">
        <v>911</v>
      </c>
      <c r="D13" s="556" t="s">
        <v>216</v>
      </c>
      <c r="E13" s="991" t="s">
        <v>683</v>
      </c>
      <c r="F13" s="575">
        <v>38.049999999999997</v>
      </c>
      <c r="G13" s="724">
        <f>(H13+I13+J13)/F13</f>
        <v>25237.84</v>
      </c>
      <c r="H13" s="590"/>
      <c r="I13" s="724">
        <v>960300</v>
      </c>
      <c r="J13" s="1138"/>
      <c r="K13" s="724"/>
      <c r="L13" s="1763"/>
      <c r="M13" s="1764"/>
      <c r="N13" s="1764"/>
      <c r="O13" s="1764"/>
      <c r="P13" s="1764"/>
      <c r="Q13" s="1764"/>
      <c r="R13" s="1191"/>
      <c r="S13" s="572"/>
      <c r="T13" s="572"/>
      <c r="U13" s="572"/>
      <c r="V13" s="572"/>
    </row>
    <row r="14" spans="1:22" s="772" customFormat="1" ht="44.25" customHeight="1" x14ac:dyDescent="0.25">
      <c r="A14" s="1756" t="s">
        <v>684</v>
      </c>
      <c r="B14" s="1757"/>
      <c r="C14" s="1757"/>
      <c r="D14" s="1757"/>
      <c r="E14" s="1757"/>
      <c r="F14" s="567"/>
      <c r="G14" s="567"/>
      <c r="H14" s="567">
        <f>H15</f>
        <v>11129100</v>
      </c>
      <c r="I14" s="567">
        <f>I15</f>
        <v>0</v>
      </c>
      <c r="J14" s="567">
        <f t="shared" ref="J14" si="2">J15</f>
        <v>0</v>
      </c>
      <c r="K14" s="567">
        <f>K15</f>
        <v>74400</v>
      </c>
      <c r="L14" s="1763"/>
      <c r="M14" s="1764"/>
      <c r="N14" s="1764"/>
      <c r="O14" s="1764"/>
      <c r="P14" s="1764"/>
      <c r="Q14" s="1764"/>
      <c r="R14" s="1193"/>
      <c r="S14" s="776"/>
      <c r="T14" s="776"/>
      <c r="U14" s="776"/>
      <c r="V14" s="776"/>
    </row>
    <row r="15" spans="1:22" s="772" customFormat="1" ht="13.5" customHeight="1" x14ac:dyDescent="0.25">
      <c r="A15" s="561"/>
      <c r="B15" s="537"/>
      <c r="C15" s="561">
        <v>992</v>
      </c>
      <c r="D15" s="540" t="s">
        <v>678</v>
      </c>
      <c r="E15" s="540"/>
      <c r="F15" s="563"/>
      <c r="G15" s="568"/>
      <c r="H15" s="563">
        <f>SUM(H16:H16)</f>
        <v>11129100</v>
      </c>
      <c r="I15" s="563">
        <f>SUM(I16:I16)</f>
        <v>0</v>
      </c>
      <c r="J15" s="1139">
        <f>SUM(J16:J16)</f>
        <v>0</v>
      </c>
      <c r="K15" s="568">
        <f>K16</f>
        <v>74400</v>
      </c>
      <c r="L15" s="1763"/>
      <c r="M15" s="1764"/>
      <c r="N15" s="1764"/>
      <c r="O15" s="1764"/>
      <c r="P15" s="1764"/>
      <c r="Q15" s="1764"/>
      <c r="R15" s="1193"/>
      <c r="S15" s="776"/>
      <c r="T15" s="776"/>
      <c r="U15" s="776"/>
      <c r="V15" s="776"/>
    </row>
    <row r="16" spans="1:22" s="573" customFormat="1" x14ac:dyDescent="0.25">
      <c r="A16" s="535">
        <v>119</v>
      </c>
      <c r="B16" s="530">
        <v>213</v>
      </c>
      <c r="C16" s="535">
        <v>992</v>
      </c>
      <c r="D16" s="554" t="s">
        <v>678</v>
      </c>
      <c r="E16" s="1505" t="s">
        <v>683</v>
      </c>
      <c r="F16" s="565">
        <v>38.049999999999997</v>
      </c>
      <c r="G16" s="546">
        <f>(H16+I16+J16+K16)/F16</f>
        <v>294441.52</v>
      </c>
      <c r="H16" s="547">
        <v>11129100</v>
      </c>
      <c r="I16" s="547"/>
      <c r="J16" s="809"/>
      <c r="K16" s="546">
        <v>74400</v>
      </c>
      <c r="L16" s="1763"/>
      <c r="M16" s="1764"/>
      <c r="N16" s="1764"/>
      <c r="O16" s="1764"/>
      <c r="P16" s="1764"/>
      <c r="Q16" s="1764"/>
      <c r="R16" s="1191"/>
      <c r="S16" s="572"/>
      <c r="T16" s="572"/>
      <c r="U16" s="572"/>
      <c r="V16" s="572"/>
    </row>
    <row r="17" spans="1:22" ht="37.5" customHeight="1" thickBot="1" x14ac:dyDescent="0.3">
      <c r="A17" s="1756" t="s">
        <v>612</v>
      </c>
      <c r="B17" s="1757"/>
      <c r="C17" s="1757"/>
      <c r="D17" s="1757"/>
      <c r="E17" s="1757"/>
      <c r="F17" s="567"/>
      <c r="G17" s="771"/>
      <c r="H17" s="780">
        <f>H21+H25+H27+H28+H35+H39+H43+H19+H18</f>
        <v>5606700</v>
      </c>
      <c r="I17" s="567">
        <f>I21+I25+I27+I28+I35+I39+I43+I19+I18</f>
        <v>0</v>
      </c>
      <c r="J17" s="780">
        <f>J21+J25+J27+J28+J35+J39+J43+J19+J18</f>
        <v>160000</v>
      </c>
      <c r="K17" s="543">
        <f>K42</f>
        <v>18600</v>
      </c>
      <c r="L17" s="1776"/>
      <c r="M17" s="1777"/>
      <c r="N17" s="1777"/>
      <c r="O17" s="1777"/>
      <c r="P17" s="1777"/>
      <c r="Q17" s="1777"/>
    </row>
    <row r="18" spans="1:22" ht="42.75" customHeight="1" thickBot="1" x14ac:dyDescent="0.3">
      <c r="A18" s="991">
        <v>244</v>
      </c>
      <c r="B18" s="591">
        <v>226</v>
      </c>
      <c r="C18" s="589">
        <v>919</v>
      </c>
      <c r="D18" s="1038" t="s">
        <v>856</v>
      </c>
      <c r="E18" s="589" t="s">
        <v>370</v>
      </c>
      <c r="F18" s="566">
        <v>1</v>
      </c>
      <c r="G18" s="590">
        <f>(H18+I18+J18)/F18</f>
        <v>315500</v>
      </c>
      <c r="H18" s="724">
        <v>315500</v>
      </c>
      <c r="I18" s="724"/>
      <c r="J18" s="1140"/>
      <c r="K18" s="659"/>
      <c r="L18" s="1125" t="str">
        <f>D18</f>
        <v>Расходы на прохождение медицинского осмотра,  гигиеническое обучение (первичный мед. Осмотр)</v>
      </c>
      <c r="M18" s="1101"/>
      <c r="N18" s="1100"/>
      <c r="O18" s="1100"/>
      <c r="P18" s="1100">
        <f>H18-N18</f>
        <v>315500</v>
      </c>
      <c r="Q18" s="1194"/>
    </row>
    <row r="19" spans="1:22" ht="24.75" customHeight="1" x14ac:dyDescent="0.25">
      <c r="A19" s="921">
        <v>244</v>
      </c>
      <c r="B19" s="920">
        <v>222</v>
      </c>
      <c r="C19" s="921">
        <v>922</v>
      </c>
      <c r="D19" s="540" t="s">
        <v>864</v>
      </c>
      <c r="E19" s="988"/>
      <c r="F19" s="986"/>
      <c r="G19" s="915"/>
      <c r="H19" s="577">
        <f>H20</f>
        <v>78000</v>
      </c>
      <c r="I19" s="545">
        <f t="shared" ref="I19:J19" si="3">I20</f>
        <v>0</v>
      </c>
      <c r="J19" s="577">
        <f t="shared" si="3"/>
        <v>160000</v>
      </c>
      <c r="K19" s="545"/>
      <c r="L19" s="1761"/>
      <c r="M19" s="1762"/>
      <c r="N19" s="1762"/>
      <c r="O19" s="1762"/>
      <c r="P19" s="1762"/>
      <c r="Q19" s="1762"/>
      <c r="R19" s="1278"/>
    </row>
    <row r="20" spans="1:22" s="573" customFormat="1" ht="23.25" customHeight="1" x14ac:dyDescent="0.25">
      <c r="A20" s="923"/>
      <c r="B20" s="922"/>
      <c r="C20" s="923">
        <v>922</v>
      </c>
      <c r="D20" s="984" t="s">
        <v>855</v>
      </c>
      <c r="E20" s="989" t="s">
        <v>718</v>
      </c>
      <c r="F20" s="987">
        <v>1</v>
      </c>
      <c r="G20" s="802">
        <f>(H20+I20+J20)/F20</f>
        <v>238000</v>
      </c>
      <c r="H20" s="802">
        <v>78000</v>
      </c>
      <c r="I20" s="575"/>
      <c r="J20" s="549">
        <v>160000</v>
      </c>
      <c r="K20" s="549"/>
      <c r="L20" s="1763"/>
      <c r="M20" s="1764"/>
      <c r="N20" s="1764"/>
      <c r="O20" s="1764"/>
      <c r="P20" s="1764"/>
      <c r="Q20" s="1764"/>
      <c r="R20" s="1279"/>
      <c r="S20" s="572"/>
      <c r="T20" s="572"/>
      <c r="U20" s="572"/>
      <c r="V20" s="572"/>
    </row>
    <row r="21" spans="1:22" s="573" customFormat="1" ht="13.8" thickBot="1" x14ac:dyDescent="0.3">
      <c r="A21" s="790">
        <v>244</v>
      </c>
      <c r="B21" s="791">
        <v>221</v>
      </c>
      <c r="C21" s="790">
        <v>925</v>
      </c>
      <c r="D21" s="715" t="s">
        <v>704</v>
      </c>
      <c r="E21" s="561"/>
      <c r="F21" s="563"/>
      <c r="G21" s="577"/>
      <c r="H21" s="779">
        <f>SUM(H22:H24)</f>
        <v>50000</v>
      </c>
      <c r="I21" s="577">
        <f>I24</f>
        <v>0</v>
      </c>
      <c r="J21" s="577">
        <f>J24</f>
        <v>0</v>
      </c>
      <c r="K21" s="823"/>
      <c r="L21" s="1337"/>
      <c r="M21" s="1275"/>
      <c r="N21" s="1339"/>
      <c r="O21" s="1339"/>
      <c r="P21" s="1339"/>
      <c r="Q21" s="1340"/>
      <c r="R21" s="1279"/>
      <c r="S21" s="572"/>
      <c r="T21" s="572"/>
      <c r="U21" s="572"/>
      <c r="V21" s="572"/>
    </row>
    <row r="22" spans="1:22" s="573" customFormat="1" ht="26.4" x14ac:dyDescent="0.25">
      <c r="A22" s="790"/>
      <c r="B22" s="791"/>
      <c r="C22" s="535"/>
      <c r="D22" s="557" t="s">
        <v>366</v>
      </c>
      <c r="E22" s="1504" t="s">
        <v>181</v>
      </c>
      <c r="F22" s="564">
        <v>6</v>
      </c>
      <c r="G22" s="547">
        <f>(H22+I22+J22)/F22</f>
        <v>6966.67</v>
      </c>
      <c r="H22" s="546">
        <v>41800</v>
      </c>
      <c r="I22" s="577"/>
      <c r="J22" s="577"/>
      <c r="K22" s="823"/>
      <c r="L22" s="1759" t="str">
        <f>D21</f>
        <v>Услуги связи</v>
      </c>
      <c r="M22" s="911"/>
      <c r="N22" s="1329"/>
      <c r="O22" s="1328"/>
      <c r="P22" s="1309">
        <f>H22-N22</f>
        <v>41800</v>
      </c>
      <c r="Q22" s="1334"/>
      <c r="R22" s="1191"/>
      <c r="S22" s="572"/>
      <c r="T22" s="572"/>
      <c r="U22" s="572"/>
      <c r="V22" s="572"/>
    </row>
    <row r="23" spans="1:22" s="573" customFormat="1" ht="15" customHeight="1" x14ac:dyDescent="0.25">
      <c r="A23" s="790"/>
      <c r="B23" s="791"/>
      <c r="C23" s="790"/>
      <c r="D23" s="557" t="s">
        <v>859</v>
      </c>
      <c r="E23" s="1504" t="s">
        <v>718</v>
      </c>
      <c r="F23" s="564">
        <v>1</v>
      </c>
      <c r="G23" s="547">
        <f>(H23+L23+M23)/F23</f>
        <v>500</v>
      </c>
      <c r="H23" s="546">
        <v>500</v>
      </c>
      <c r="I23" s="577"/>
      <c r="J23" s="577"/>
      <c r="K23" s="823"/>
      <c r="L23" s="1759"/>
      <c r="M23" s="1094"/>
      <c r="N23" s="1335"/>
      <c r="O23" s="1335"/>
      <c r="P23" s="1304">
        <f>H23-N23</f>
        <v>500</v>
      </c>
      <c r="Q23" s="1336"/>
      <c r="R23" s="1191"/>
      <c r="S23" s="572"/>
      <c r="T23" s="572"/>
      <c r="U23" s="572"/>
      <c r="V23" s="572"/>
    </row>
    <row r="24" spans="1:22" s="573" customFormat="1" ht="15.75" customHeight="1" thickBot="1" x14ac:dyDescent="0.3">
      <c r="A24" s="535"/>
      <c r="B24" s="530"/>
      <c r="C24" s="535"/>
      <c r="D24" s="557" t="s">
        <v>860</v>
      </c>
      <c r="E24" s="587" t="s">
        <v>903</v>
      </c>
      <c r="F24" s="564">
        <v>181</v>
      </c>
      <c r="G24" s="547">
        <f>(H24+I24+J24)/F24</f>
        <v>42.54</v>
      </c>
      <c r="H24" s="546">
        <v>7700</v>
      </c>
      <c r="I24" s="577"/>
      <c r="J24" s="577"/>
      <c r="K24" s="823"/>
      <c r="L24" s="1769"/>
      <c r="M24" s="912"/>
      <c r="N24" s="1330"/>
      <c r="O24" s="1331"/>
      <c r="P24" s="1313">
        <f>H24-N24</f>
        <v>7700</v>
      </c>
      <c r="Q24" s="1332"/>
      <c r="R24" s="1191"/>
      <c r="S24" s="572"/>
      <c r="T24" s="572"/>
      <c r="U24" s="572"/>
      <c r="V24" s="572"/>
    </row>
    <row r="25" spans="1:22" s="573" customFormat="1" ht="42.6" customHeight="1" thickBot="1" x14ac:dyDescent="0.3">
      <c r="A25" s="1127">
        <v>244</v>
      </c>
      <c r="B25" s="1122">
        <v>225</v>
      </c>
      <c r="C25" s="1122">
        <v>927</v>
      </c>
      <c r="D25" s="985" t="s">
        <v>705</v>
      </c>
      <c r="E25" s="540"/>
      <c r="F25" s="563"/>
      <c r="G25" s="544"/>
      <c r="H25" s="545">
        <f>H26</f>
        <v>1924100</v>
      </c>
      <c r="I25" s="545">
        <f t="shared" ref="I25:J25" si="4">I26</f>
        <v>0</v>
      </c>
      <c r="J25" s="545">
        <f t="shared" si="4"/>
        <v>0</v>
      </c>
      <c r="K25" s="545"/>
      <c r="L25" s="1299"/>
      <c r="M25" s="1343"/>
      <c r="N25" s="1344"/>
      <c r="O25" s="1344"/>
      <c r="P25" s="1344"/>
      <c r="Q25" s="1345"/>
      <c r="R25" s="1279"/>
      <c r="S25" s="572"/>
      <c r="T25" s="572"/>
      <c r="U25" s="572"/>
      <c r="V25" s="572"/>
    </row>
    <row r="26" spans="1:22" s="573" customFormat="1" ht="13.8" thickBot="1" x14ac:dyDescent="0.3">
      <c r="A26" s="1142"/>
      <c r="B26" s="536"/>
      <c r="C26" s="536"/>
      <c r="D26" s="1000" t="s">
        <v>715</v>
      </c>
      <c r="E26" s="1505" t="s">
        <v>370</v>
      </c>
      <c r="F26" s="565">
        <v>1</v>
      </c>
      <c r="G26" s="548">
        <f>(H26+I26+J26)/F26</f>
        <v>1924100</v>
      </c>
      <c r="H26" s="549">
        <v>1924100</v>
      </c>
      <c r="I26" s="549"/>
      <c r="J26" s="548"/>
      <c r="K26" s="549"/>
      <c r="L26" s="1508" t="str">
        <f>D26</f>
        <v>Торгсервис</v>
      </c>
      <c r="M26" s="1214"/>
      <c r="N26" s="1331"/>
      <c r="O26" s="1333"/>
      <c r="P26" s="1207">
        <f>H26-N26</f>
        <v>1924100</v>
      </c>
      <c r="Q26" s="1342"/>
      <c r="R26" s="1191"/>
      <c r="S26" s="572"/>
      <c r="T26" s="572"/>
      <c r="U26" s="572"/>
      <c r="V26" s="572"/>
    </row>
    <row r="27" spans="1:22" s="1247" customFormat="1" ht="44.25" customHeight="1" thickBot="1" x14ac:dyDescent="0.3">
      <c r="A27" s="1251">
        <v>244</v>
      </c>
      <c r="B27" s="1251">
        <v>223</v>
      </c>
      <c r="C27" s="1251" t="s">
        <v>716</v>
      </c>
      <c r="D27" s="1252" t="s">
        <v>717</v>
      </c>
      <c r="E27" s="988" t="s">
        <v>718</v>
      </c>
      <c r="F27" s="1253">
        <v>1</v>
      </c>
      <c r="G27" s="915">
        <f>(H27+I27+J27)/F27</f>
        <v>58200</v>
      </c>
      <c r="H27" s="915">
        <v>58200</v>
      </c>
      <c r="I27" s="915"/>
      <c r="J27" s="915"/>
      <c r="K27" s="797"/>
      <c r="L27" s="1254" t="str">
        <f>D27</f>
        <v>Вывоз твердых коммунальных отходов</v>
      </c>
      <c r="M27" s="1255"/>
      <c r="N27" s="1256"/>
      <c r="O27" s="1257"/>
      <c r="P27" s="1257">
        <f>H27-N27</f>
        <v>58200</v>
      </c>
      <c r="Q27" s="1258"/>
      <c r="R27" s="539"/>
      <c r="S27" s="1246"/>
      <c r="T27" s="1246"/>
      <c r="U27" s="1246"/>
      <c r="V27" s="1246"/>
    </row>
    <row r="28" spans="1:22" s="573" customFormat="1" ht="40.200000000000003" thickBot="1" x14ac:dyDescent="0.3">
      <c r="A28" s="561">
        <v>244</v>
      </c>
      <c r="B28" s="538">
        <v>225</v>
      </c>
      <c r="C28" s="561">
        <v>941</v>
      </c>
      <c r="D28" s="985" t="s">
        <v>845</v>
      </c>
      <c r="E28" s="990"/>
      <c r="F28" s="584"/>
      <c r="G28" s="581"/>
      <c r="H28" s="544">
        <f>SUM(H29:H34)</f>
        <v>635800</v>
      </c>
      <c r="I28" s="545">
        <f>SUM(I29:I33)</f>
        <v>0</v>
      </c>
      <c r="J28" s="545">
        <f>SUM(J29:J33)</f>
        <v>0</v>
      </c>
      <c r="K28" s="545"/>
      <c r="L28" s="1346"/>
      <c r="M28" s="1344"/>
      <c r="N28" s="1299"/>
      <c r="O28" s="1299"/>
      <c r="P28" s="1299"/>
      <c r="Q28" s="1344"/>
      <c r="R28" s="1191"/>
      <c r="S28" s="572"/>
      <c r="T28" s="572"/>
      <c r="U28" s="572"/>
      <c r="V28" s="572"/>
    </row>
    <row r="29" spans="1:22" s="573" customFormat="1" ht="19.5" customHeight="1" thickBot="1" x14ac:dyDescent="0.3">
      <c r="A29" s="1120"/>
      <c r="B29" s="531"/>
      <c r="C29" s="1120"/>
      <c r="D29" s="1081" t="s">
        <v>377</v>
      </c>
      <c r="E29" s="587" t="s">
        <v>178</v>
      </c>
      <c r="F29" s="564">
        <v>12</v>
      </c>
      <c r="G29" s="547">
        <f t="shared" ref="G29:G34" si="5">(H29+I29+J29)/F29</f>
        <v>12500</v>
      </c>
      <c r="H29" s="546">
        <v>150000</v>
      </c>
      <c r="I29" s="547"/>
      <c r="J29" s="1510"/>
      <c r="K29" s="1510"/>
      <c r="L29" s="1324" t="str">
        <f t="shared" ref="L29:L34" si="6">D29</f>
        <v>Техническое обслуживание  АУТВР</v>
      </c>
      <c r="M29" s="1023"/>
      <c r="N29" s="1309"/>
      <c r="O29" s="1309"/>
      <c r="P29" s="1309">
        <f t="shared" ref="P29:P34" si="7">H29-N29</f>
        <v>150000</v>
      </c>
      <c r="Q29" s="1347"/>
      <c r="R29" s="1191"/>
      <c r="S29" s="572"/>
      <c r="T29" s="572"/>
      <c r="U29" s="572"/>
      <c r="V29" s="572"/>
    </row>
    <row r="30" spans="1:22" s="573" customFormat="1" ht="21" customHeight="1" thickBot="1" x14ac:dyDescent="0.3">
      <c r="A30" s="1120"/>
      <c r="B30" s="531"/>
      <c r="C30" s="1120"/>
      <c r="D30" s="557" t="s">
        <v>378</v>
      </c>
      <c r="E30" s="587" t="s">
        <v>178</v>
      </c>
      <c r="F30" s="564">
        <v>12</v>
      </c>
      <c r="G30" s="547">
        <f t="shared" si="5"/>
        <v>1475</v>
      </c>
      <c r="H30" s="546">
        <v>17700</v>
      </c>
      <c r="I30" s="547"/>
      <c r="J30" s="1510"/>
      <c r="K30" s="1281"/>
      <c r="L30" s="1126" t="str">
        <f t="shared" si="6"/>
        <v>Дератизация и дезинсекция помещений</v>
      </c>
      <c r="M30" s="1099"/>
      <c r="N30" s="1097"/>
      <c r="O30" s="1188"/>
      <c r="P30" s="1309">
        <f t="shared" si="7"/>
        <v>17700</v>
      </c>
      <c r="Q30" s="1150"/>
      <c r="R30" s="1191"/>
      <c r="S30" s="572"/>
      <c r="T30" s="572"/>
      <c r="U30" s="572"/>
      <c r="V30" s="572"/>
    </row>
    <row r="31" spans="1:22" s="573" customFormat="1" ht="18" customHeight="1" thickBot="1" x14ac:dyDescent="0.3">
      <c r="A31" s="1120"/>
      <c r="B31" s="531"/>
      <c r="C31" s="1120"/>
      <c r="D31" s="557" t="s">
        <v>722</v>
      </c>
      <c r="E31" s="587" t="s">
        <v>178</v>
      </c>
      <c r="F31" s="564">
        <v>12</v>
      </c>
      <c r="G31" s="547">
        <f t="shared" si="5"/>
        <v>9500</v>
      </c>
      <c r="H31" s="546">
        <v>114000</v>
      </c>
      <c r="I31" s="547"/>
      <c r="J31" s="1510"/>
      <c r="K31" s="1510"/>
      <c r="L31" s="1126" t="str">
        <f t="shared" si="6"/>
        <v>Техническое обслуживание ОПС и ППА СОУЭ</v>
      </c>
      <c r="M31" s="1099"/>
      <c r="N31" s="1097"/>
      <c r="O31" s="1188"/>
      <c r="P31" s="1309">
        <f t="shared" si="7"/>
        <v>114000</v>
      </c>
      <c r="Q31" s="1150"/>
      <c r="R31" s="1191"/>
      <c r="S31" s="572"/>
      <c r="T31" s="572"/>
      <c r="U31" s="572"/>
      <c r="V31" s="572"/>
    </row>
    <row r="32" spans="1:22" s="573" customFormat="1" ht="19.5" customHeight="1" thickBot="1" x14ac:dyDescent="0.3">
      <c r="A32" s="1120"/>
      <c r="B32" s="531"/>
      <c r="C32" s="1120"/>
      <c r="D32" s="557" t="s">
        <v>379</v>
      </c>
      <c r="E32" s="587" t="s">
        <v>785</v>
      </c>
      <c r="F32" s="564">
        <v>4</v>
      </c>
      <c r="G32" s="547">
        <f t="shared" si="5"/>
        <v>33525</v>
      </c>
      <c r="H32" s="546">
        <v>134100</v>
      </c>
      <c r="I32" s="547"/>
      <c r="J32" s="1510"/>
      <c r="K32" s="1510"/>
      <c r="L32" s="1126" t="str">
        <f t="shared" si="6"/>
        <v>Мерзлотно - технический надзор за зданием</v>
      </c>
      <c r="M32" s="1099"/>
      <c r="N32" s="1097"/>
      <c r="O32" s="1188"/>
      <c r="P32" s="1309">
        <f t="shared" si="7"/>
        <v>134100</v>
      </c>
      <c r="Q32" s="1098"/>
      <c r="R32" s="1191"/>
      <c r="S32" s="572"/>
      <c r="T32" s="572"/>
      <c r="U32" s="572"/>
      <c r="V32" s="572"/>
    </row>
    <row r="33" spans="1:22" s="573" customFormat="1" ht="17.25" customHeight="1" thickBot="1" x14ac:dyDescent="0.3">
      <c r="A33" s="1120"/>
      <c r="B33" s="531"/>
      <c r="C33" s="1120"/>
      <c r="D33" s="557" t="s">
        <v>396</v>
      </c>
      <c r="E33" s="1504" t="s">
        <v>786</v>
      </c>
      <c r="F33" s="564">
        <v>1790</v>
      </c>
      <c r="G33" s="547">
        <f t="shared" si="5"/>
        <v>67.040000000000006</v>
      </c>
      <c r="H33" s="546">
        <v>120000</v>
      </c>
      <c r="I33" s="547"/>
      <c r="J33" s="1510"/>
      <c r="K33" s="1510"/>
      <c r="L33" s="1305" t="str">
        <f t="shared" si="6"/>
        <v>Очистка кровель от снега и наледи</v>
      </c>
      <c r="M33" s="1314"/>
      <c r="N33" s="1311"/>
      <c r="O33" s="1304"/>
      <c r="P33" s="1309">
        <f t="shared" si="7"/>
        <v>120000</v>
      </c>
      <c r="Q33" s="1308"/>
      <c r="R33" s="1191"/>
      <c r="S33" s="572"/>
      <c r="T33" s="572"/>
      <c r="U33" s="572"/>
      <c r="V33" s="572"/>
    </row>
    <row r="34" spans="1:22" s="573" customFormat="1" ht="17.25" customHeight="1" thickBot="1" x14ac:dyDescent="0.3">
      <c r="A34" s="587"/>
      <c r="B34" s="1271"/>
      <c r="C34" s="531"/>
      <c r="D34" s="811" t="s">
        <v>896</v>
      </c>
      <c r="E34" s="1505" t="s">
        <v>718</v>
      </c>
      <c r="F34" s="565">
        <v>1</v>
      </c>
      <c r="G34" s="547">
        <f t="shared" si="5"/>
        <v>100000</v>
      </c>
      <c r="H34" s="546">
        <v>100000</v>
      </c>
      <c r="I34" s="547"/>
      <c r="J34" s="1281"/>
      <c r="K34" s="1216"/>
      <c r="L34" s="1306" t="str">
        <f t="shared" si="6"/>
        <v>Аэродинамические испытания</v>
      </c>
      <c r="M34" s="1314"/>
      <c r="N34" s="1307"/>
      <c r="O34" s="1267"/>
      <c r="P34" s="1309">
        <f t="shared" si="7"/>
        <v>100000</v>
      </c>
      <c r="Q34" s="1287"/>
      <c r="R34" s="1191"/>
      <c r="S34" s="572"/>
      <c r="T34" s="572"/>
      <c r="U34" s="572"/>
      <c r="V34" s="572"/>
    </row>
    <row r="35" spans="1:22" s="573" customFormat="1" ht="40.200000000000003" thickBot="1" x14ac:dyDescent="0.3">
      <c r="A35" s="583">
        <v>244</v>
      </c>
      <c r="B35" s="561">
        <v>226</v>
      </c>
      <c r="C35" s="538">
        <v>953</v>
      </c>
      <c r="D35" s="553" t="s">
        <v>723</v>
      </c>
      <c r="E35" s="532"/>
      <c r="F35" s="584"/>
      <c r="G35" s="585"/>
      <c r="H35" s="545">
        <f>SUM(H36:H38)</f>
        <v>2365100</v>
      </c>
      <c r="I35" s="545">
        <f t="shared" ref="I35:J35" si="8">SUM(I36:I38)</f>
        <v>0</v>
      </c>
      <c r="J35" s="1141">
        <f t="shared" si="8"/>
        <v>0</v>
      </c>
      <c r="K35" s="823"/>
      <c r="L35" s="1349"/>
      <c r="M35" s="1350"/>
      <c r="N35" s="1351"/>
      <c r="O35" s="1351"/>
      <c r="P35" s="1352"/>
      <c r="Q35" s="1350"/>
      <c r="R35" s="1191"/>
      <c r="S35" s="572"/>
      <c r="T35" s="572"/>
      <c r="U35" s="572"/>
      <c r="V35" s="572"/>
    </row>
    <row r="36" spans="1:22" s="573" customFormat="1" ht="17.25" customHeight="1" x14ac:dyDescent="0.25">
      <c r="A36" s="587"/>
      <c r="B36" s="1120"/>
      <c r="C36" s="531"/>
      <c r="D36" s="554" t="s">
        <v>380</v>
      </c>
      <c r="E36" s="531" t="s">
        <v>178</v>
      </c>
      <c r="F36" s="564">
        <v>12</v>
      </c>
      <c r="G36" s="546">
        <f>(H36+I36+J36)/F36</f>
        <v>2333.33</v>
      </c>
      <c r="H36" s="547">
        <v>28000</v>
      </c>
      <c r="I36" s="547"/>
      <c r="J36" s="809"/>
      <c r="K36" s="809"/>
      <c r="L36" s="1767" t="s">
        <v>802</v>
      </c>
      <c r="M36" s="1765"/>
      <c r="N36" s="1758"/>
      <c r="O36" s="1759"/>
      <c r="P36" s="1758">
        <f>H36+H37-N36</f>
        <v>118000</v>
      </c>
      <c r="Q36" s="1770"/>
      <c r="R36" s="1191"/>
      <c r="S36" s="572"/>
      <c r="T36" s="572"/>
      <c r="U36" s="572"/>
      <c r="V36" s="572"/>
    </row>
    <row r="37" spans="1:22" s="573" customFormat="1" ht="39" customHeight="1" x14ac:dyDescent="0.25">
      <c r="A37" s="587"/>
      <c r="B37" s="1120"/>
      <c r="C37" s="531"/>
      <c r="D37" s="554" t="s">
        <v>671</v>
      </c>
      <c r="E37" s="531" t="s">
        <v>178</v>
      </c>
      <c r="F37" s="564">
        <v>12</v>
      </c>
      <c r="G37" s="546">
        <f>(H37+I37+J37)/F37</f>
        <v>7500</v>
      </c>
      <c r="H37" s="547">
        <v>90000</v>
      </c>
      <c r="I37" s="547"/>
      <c r="J37" s="547"/>
      <c r="K37" s="809"/>
      <c r="L37" s="1768"/>
      <c r="M37" s="1766"/>
      <c r="N37" s="1749"/>
      <c r="O37" s="1760"/>
      <c r="P37" s="1749"/>
      <c r="Q37" s="1771"/>
      <c r="R37" s="1191"/>
      <c r="S37" s="572"/>
      <c r="T37" s="572"/>
      <c r="U37" s="572"/>
      <c r="V37" s="572"/>
    </row>
    <row r="38" spans="1:22" s="573" customFormat="1" ht="13.8" thickBot="1" x14ac:dyDescent="0.3">
      <c r="A38" s="586"/>
      <c r="B38" s="1121"/>
      <c r="C38" s="534"/>
      <c r="D38" s="485" t="s">
        <v>381</v>
      </c>
      <c r="E38" s="534" t="s">
        <v>178</v>
      </c>
      <c r="F38" s="565">
        <v>12</v>
      </c>
      <c r="G38" s="548">
        <f>(H38+I38+J38)/F38</f>
        <v>187258.33</v>
      </c>
      <c r="H38" s="549">
        <v>2247100</v>
      </c>
      <c r="I38" s="549"/>
      <c r="J38" s="1216"/>
      <c r="K38" s="1216"/>
      <c r="L38" s="887" t="str">
        <f>D38</f>
        <v>Охрана физическая</v>
      </c>
      <c r="M38" s="1190"/>
      <c r="N38" s="888"/>
      <c r="O38" s="1187"/>
      <c r="P38" s="888">
        <f>H38-N38</f>
        <v>2247100</v>
      </c>
      <c r="Q38" s="1189"/>
      <c r="R38" s="1195"/>
      <c r="S38" s="572"/>
      <c r="T38" s="572"/>
      <c r="U38" s="572"/>
      <c r="V38" s="572"/>
    </row>
    <row r="39" spans="1:22" s="573" customFormat="1" ht="18" customHeight="1" x14ac:dyDescent="0.25">
      <c r="A39" s="583">
        <v>244</v>
      </c>
      <c r="B39" s="561">
        <v>226</v>
      </c>
      <c r="C39" s="538" t="s">
        <v>724</v>
      </c>
      <c r="D39" s="553" t="s">
        <v>725</v>
      </c>
      <c r="E39" s="538"/>
      <c r="F39" s="563"/>
      <c r="G39" s="544"/>
      <c r="H39" s="545">
        <f>SUM(H40:H40)</f>
        <v>80000</v>
      </c>
      <c r="I39" s="545">
        <f>SUM(I40:I40)</f>
        <v>0</v>
      </c>
      <c r="J39" s="796">
        <f>SUM(J40:J40)</f>
        <v>0</v>
      </c>
      <c r="K39" s="545"/>
      <c r="L39" s="1299"/>
      <c r="M39" s="1299"/>
      <c r="N39" s="1299"/>
      <c r="O39" s="1299"/>
      <c r="P39" s="1299"/>
      <c r="Q39" s="1299"/>
      <c r="R39" s="1279"/>
      <c r="S39" s="572"/>
      <c r="T39" s="572"/>
      <c r="U39" s="572"/>
      <c r="V39" s="572"/>
    </row>
    <row r="40" spans="1:22" s="573" customFormat="1" x14ac:dyDescent="0.25">
      <c r="A40" s="586"/>
      <c r="B40" s="1121"/>
      <c r="C40" s="534"/>
      <c r="D40" s="813" t="s">
        <v>855</v>
      </c>
      <c r="E40" s="534" t="s">
        <v>718</v>
      </c>
      <c r="F40" s="565">
        <v>1</v>
      </c>
      <c r="G40" s="548">
        <f>(H40+I40+J40)/F40</f>
        <v>80000</v>
      </c>
      <c r="H40" s="549">
        <v>80000</v>
      </c>
      <c r="I40" s="549"/>
      <c r="J40" s="804"/>
      <c r="K40" s="547"/>
      <c r="L40" s="895"/>
      <c r="M40" s="895"/>
      <c r="N40" s="895"/>
      <c r="O40" s="895"/>
      <c r="P40" s="895"/>
      <c r="Q40" s="895"/>
      <c r="R40" s="1279"/>
      <c r="S40" s="572"/>
      <c r="T40" s="572"/>
      <c r="U40" s="572"/>
      <c r="V40" s="572"/>
    </row>
    <row r="41" spans="1:22" s="573" customFormat="1" ht="13.8" thickBot="1" x14ac:dyDescent="0.3">
      <c r="A41" s="634">
        <v>244</v>
      </c>
      <c r="B41" s="576">
        <v>225</v>
      </c>
      <c r="C41" s="537">
        <v>955</v>
      </c>
      <c r="D41" s="893" t="s">
        <v>748</v>
      </c>
      <c r="F41" s="1289"/>
      <c r="H41" s="577"/>
      <c r="I41" s="577"/>
      <c r="J41" s="779"/>
      <c r="K41" s="1512">
        <f>K42</f>
        <v>18600</v>
      </c>
      <c r="L41" s="1275"/>
      <c r="M41" s="1275"/>
      <c r="N41" s="1275"/>
      <c r="O41" s="1275"/>
      <c r="P41" s="895"/>
      <c r="Q41" s="1275"/>
      <c r="R41" s="1279"/>
      <c r="S41" s="572"/>
      <c r="T41" s="572"/>
      <c r="U41" s="572"/>
      <c r="V41" s="572"/>
    </row>
    <row r="42" spans="1:22" s="573" customFormat="1" ht="13.95" customHeight="1" thickBot="1" x14ac:dyDescent="0.3">
      <c r="A42" s="634"/>
      <c r="B42" s="576"/>
      <c r="C42" s="537"/>
      <c r="D42" s="1511" t="s">
        <v>900</v>
      </c>
      <c r="E42" s="531" t="s">
        <v>683</v>
      </c>
      <c r="F42" s="564">
        <v>6</v>
      </c>
      <c r="G42" s="548">
        <f>(H42+I42+J42+K42)/F42</f>
        <v>3100</v>
      </c>
      <c r="H42" s="577"/>
      <c r="I42" s="577"/>
      <c r="J42" s="779"/>
      <c r="K42" s="549">
        <f>18600</f>
        <v>18600</v>
      </c>
      <c r="L42" s="1300" t="str">
        <f>D42</f>
        <v>Оплата труда наставников (ТОШ)</v>
      </c>
      <c r="M42" s="1214"/>
      <c r="N42" s="1214"/>
      <c r="O42" s="1214"/>
      <c r="P42" s="1354">
        <f>K42-N42</f>
        <v>18600</v>
      </c>
      <c r="Q42" s="895"/>
      <c r="R42" s="1301"/>
      <c r="S42" s="572"/>
      <c r="T42" s="572"/>
      <c r="U42" s="572"/>
      <c r="V42" s="572"/>
    </row>
    <row r="43" spans="1:22" s="573" customFormat="1" ht="39.6" x14ac:dyDescent="0.25">
      <c r="A43" s="583">
        <v>244</v>
      </c>
      <c r="B43" s="561">
        <v>340</v>
      </c>
      <c r="C43" s="538" t="s">
        <v>726</v>
      </c>
      <c r="D43" s="553" t="s">
        <v>727</v>
      </c>
      <c r="E43" s="538"/>
      <c r="F43" s="563"/>
      <c r="G43" s="544"/>
      <c r="H43" s="545">
        <f>SUM(H44:H44)</f>
        <v>100000</v>
      </c>
      <c r="I43" s="545">
        <f t="shared" ref="I43:J43" si="9">I44</f>
        <v>0</v>
      </c>
      <c r="J43" s="544">
        <f t="shared" si="9"/>
        <v>0</v>
      </c>
      <c r="K43" s="545"/>
      <c r="L43" s="1276"/>
      <c r="M43" s="1276"/>
      <c r="N43" s="1276"/>
      <c r="O43" s="1276"/>
      <c r="P43" s="1276"/>
      <c r="Q43" s="1276"/>
      <c r="R43" s="1191"/>
      <c r="S43" s="572"/>
      <c r="T43" s="572"/>
      <c r="U43" s="572"/>
      <c r="V43" s="572"/>
    </row>
    <row r="44" spans="1:22" s="573" customFormat="1" ht="16.5" customHeight="1" x14ac:dyDescent="0.25">
      <c r="A44" s="586"/>
      <c r="B44" s="1121"/>
      <c r="C44" s="534"/>
      <c r="D44" s="813" t="s">
        <v>855</v>
      </c>
      <c r="E44" s="534" t="s">
        <v>718</v>
      </c>
      <c r="F44" s="565">
        <v>1</v>
      </c>
      <c r="G44" s="548">
        <f>(H44+I44+J44)/F44</f>
        <v>100000</v>
      </c>
      <c r="H44" s="549">
        <v>100000</v>
      </c>
      <c r="I44" s="549"/>
      <c r="J44" s="548"/>
      <c r="K44" s="549"/>
      <c r="L44" s="895"/>
      <c r="M44" s="895"/>
      <c r="N44" s="895"/>
      <c r="O44" s="895"/>
      <c r="P44" s="895"/>
      <c r="Q44" s="895"/>
      <c r="R44" s="1191"/>
      <c r="S44" s="572"/>
      <c r="T44" s="572"/>
      <c r="U44" s="572"/>
      <c r="V44" s="572"/>
    </row>
    <row r="45" spans="1:22" s="573" customFormat="1" ht="34.5" customHeight="1" thickBot="1" x14ac:dyDescent="0.3">
      <c r="A45" s="1756" t="s">
        <v>706</v>
      </c>
      <c r="B45" s="1757"/>
      <c r="C45" s="1757"/>
      <c r="D45" s="1757"/>
      <c r="E45" s="1757"/>
      <c r="F45" s="567"/>
      <c r="G45" s="567"/>
      <c r="H45" s="567">
        <f>H46+H50+H51</f>
        <v>2153200</v>
      </c>
      <c r="I45" s="567">
        <f t="shared" ref="I45:J45" si="10">I46+I50+I51</f>
        <v>0</v>
      </c>
      <c r="J45" s="567">
        <f t="shared" si="10"/>
        <v>0</v>
      </c>
      <c r="K45" s="1004"/>
      <c r="L45" s="1277"/>
      <c r="M45" s="1275"/>
      <c r="N45" s="895"/>
      <c r="O45" s="895"/>
      <c r="P45" s="895"/>
      <c r="Q45" s="895"/>
      <c r="R45" s="1191"/>
      <c r="S45" s="572"/>
      <c r="T45" s="572"/>
      <c r="U45" s="572"/>
      <c r="V45" s="572"/>
    </row>
    <row r="46" spans="1:22" s="573" customFormat="1" ht="26.4" customHeight="1" thickBot="1" x14ac:dyDescent="0.3">
      <c r="A46" s="1122">
        <v>247</v>
      </c>
      <c r="B46" s="1124">
        <v>223</v>
      </c>
      <c r="C46" s="1122">
        <v>931</v>
      </c>
      <c r="D46" s="558" t="s">
        <v>707</v>
      </c>
      <c r="E46" s="583"/>
      <c r="F46" s="563"/>
      <c r="G46" s="545"/>
      <c r="H46" s="544">
        <f>SUM(H47:H49)</f>
        <v>1244600</v>
      </c>
      <c r="I46" s="545">
        <f t="shared" ref="I46" si="11">I49</f>
        <v>0</v>
      </c>
      <c r="J46" s="545">
        <f t="shared" ref="J46" si="12">J49</f>
        <v>0</v>
      </c>
      <c r="K46" s="545"/>
      <c r="M46" s="1341"/>
      <c r="N46" s="1328"/>
      <c r="O46" s="1328"/>
      <c r="P46" s="1333"/>
      <c r="Q46" s="1353"/>
      <c r="R46" s="1191"/>
      <c r="S46" s="572"/>
      <c r="T46" s="572"/>
      <c r="U46" s="572"/>
      <c r="V46" s="572"/>
    </row>
    <row r="47" spans="1:22" s="573" customFormat="1" x14ac:dyDescent="0.25">
      <c r="A47" s="535"/>
      <c r="B47" s="530"/>
      <c r="C47" s="535"/>
      <c r="D47" s="557" t="s">
        <v>373</v>
      </c>
      <c r="E47" s="587" t="s">
        <v>371</v>
      </c>
      <c r="F47" s="564">
        <v>626</v>
      </c>
      <c r="G47" s="547">
        <f>(H47+I47+J47)/F47</f>
        <v>1932.59</v>
      </c>
      <c r="H47" s="546">
        <v>1209800</v>
      </c>
      <c r="I47" s="547"/>
      <c r="J47" s="547"/>
      <c r="K47" s="809"/>
      <c r="L47" s="1810" t="str">
        <f>D46</f>
        <v>Оплата отопления и технологических нужд, а также горячего водоснабжения</v>
      </c>
      <c r="M47" s="1804"/>
      <c r="N47" s="1806"/>
      <c r="O47" s="1806"/>
      <c r="P47" s="1759">
        <f>H47+H48+H49-N47</f>
        <v>1244600</v>
      </c>
      <c r="Q47" s="1798"/>
      <c r="R47" s="1191"/>
      <c r="S47" s="572"/>
      <c r="T47" s="572"/>
      <c r="U47" s="572"/>
      <c r="V47" s="572"/>
    </row>
    <row r="48" spans="1:22" s="573" customFormat="1" x14ac:dyDescent="0.25">
      <c r="A48" s="535"/>
      <c r="B48" s="530"/>
      <c r="C48" s="535"/>
      <c r="D48" s="557" t="s">
        <v>372</v>
      </c>
      <c r="E48" s="587" t="s">
        <v>371</v>
      </c>
      <c r="F48" s="564">
        <v>15.96</v>
      </c>
      <c r="G48" s="547">
        <f>(H48+I48+J48)/F48</f>
        <v>1961.15</v>
      </c>
      <c r="H48" s="546">
        <v>31300</v>
      </c>
      <c r="I48" s="547"/>
      <c r="J48" s="547"/>
      <c r="K48" s="809"/>
      <c r="L48" s="1811"/>
      <c r="M48" s="1804"/>
      <c r="N48" s="1759"/>
      <c r="O48" s="1759"/>
      <c r="P48" s="1759"/>
      <c r="Q48" s="1799"/>
      <c r="R48" s="1191"/>
      <c r="S48" s="572"/>
      <c r="T48" s="572"/>
      <c r="U48" s="572"/>
      <c r="V48" s="572"/>
    </row>
    <row r="49" spans="1:22" s="573" customFormat="1" ht="13.5" customHeight="1" thickBot="1" x14ac:dyDescent="0.3">
      <c r="A49" s="536"/>
      <c r="B49" s="533"/>
      <c r="C49" s="536"/>
      <c r="D49" s="559" t="s">
        <v>374</v>
      </c>
      <c r="E49" s="586" t="s">
        <v>435</v>
      </c>
      <c r="F49" s="565">
        <v>266</v>
      </c>
      <c r="G49" s="549">
        <f>(H49+I49+J49)/F49</f>
        <v>13.16</v>
      </c>
      <c r="H49" s="548">
        <v>3500</v>
      </c>
      <c r="I49" s="549"/>
      <c r="J49" s="549"/>
      <c r="K49" s="1089"/>
      <c r="L49" s="1811"/>
      <c r="M49" s="1804"/>
      <c r="N49" s="1759"/>
      <c r="O49" s="1759"/>
      <c r="P49" s="1759"/>
      <c r="Q49" s="1799"/>
      <c r="R49" s="1191"/>
      <c r="S49" s="572"/>
      <c r="T49" s="572"/>
      <c r="U49" s="572"/>
      <c r="V49" s="572"/>
    </row>
    <row r="50" spans="1:22" s="573" customFormat="1" ht="25.5" customHeight="1" thickBot="1" x14ac:dyDescent="0.3">
      <c r="A50" s="1123">
        <v>247</v>
      </c>
      <c r="B50" s="1123">
        <v>223</v>
      </c>
      <c r="C50" s="1123">
        <v>932</v>
      </c>
      <c r="D50" s="1043" t="s">
        <v>708</v>
      </c>
      <c r="E50" s="1008" t="s">
        <v>709</v>
      </c>
      <c r="F50" s="1010">
        <v>34945</v>
      </c>
      <c r="G50" s="575">
        <f>(H50+I50+J50)/F50</f>
        <v>4.5999999999999996</v>
      </c>
      <c r="H50" s="575">
        <v>160700</v>
      </c>
      <c r="I50" s="575"/>
      <c r="J50" s="575"/>
      <c r="K50" s="1283"/>
      <c r="L50" s="1206" t="str">
        <f>D50</f>
        <v>Потребление электроэнергии</v>
      </c>
      <c r="M50" s="1325"/>
      <c r="N50" s="1312"/>
      <c r="O50" s="1312"/>
      <c r="P50" s="1312">
        <f>H50-N50</f>
        <v>160700</v>
      </c>
      <c r="Q50" s="1348"/>
      <c r="R50" s="1191"/>
      <c r="S50" s="572"/>
      <c r="T50" s="572"/>
      <c r="U50" s="572"/>
      <c r="V50" s="572"/>
    </row>
    <row r="51" spans="1:22" s="573" customFormat="1" ht="25.5" customHeight="1" thickBot="1" x14ac:dyDescent="0.3">
      <c r="A51" s="561">
        <v>247</v>
      </c>
      <c r="B51" s="538">
        <v>223</v>
      </c>
      <c r="C51" s="561" t="s">
        <v>710</v>
      </c>
      <c r="D51" s="558" t="s">
        <v>711</v>
      </c>
      <c r="E51" s="990"/>
      <c r="F51" s="584"/>
      <c r="G51" s="581"/>
      <c r="H51" s="545">
        <f>SUM(H52:H54)</f>
        <v>747900</v>
      </c>
      <c r="I51" s="545">
        <f t="shared" ref="I51:J51" si="13">SUM(I52:I54)</f>
        <v>0</v>
      </c>
      <c r="J51" s="545">
        <f t="shared" si="13"/>
        <v>0</v>
      </c>
      <c r="K51" s="1141"/>
      <c r="M51" s="1276"/>
      <c r="N51" s="1343"/>
      <c r="O51" s="1276"/>
      <c r="P51" s="1299"/>
      <c r="Q51" s="1276"/>
      <c r="R51" s="1279"/>
      <c r="S51" s="572"/>
      <c r="T51" s="572"/>
      <c r="U51" s="572"/>
      <c r="V51" s="572"/>
    </row>
    <row r="52" spans="1:22" s="573" customFormat="1" ht="21.75" customHeight="1" x14ac:dyDescent="0.25">
      <c r="A52" s="535"/>
      <c r="B52" s="530"/>
      <c r="C52" s="535"/>
      <c r="D52" s="557" t="s">
        <v>712</v>
      </c>
      <c r="E52" s="587" t="s">
        <v>714</v>
      </c>
      <c r="F52" s="564">
        <v>4263</v>
      </c>
      <c r="G52" s="547">
        <f>(H52+I52+J52)/F52</f>
        <v>74.31</v>
      </c>
      <c r="H52" s="547">
        <v>316800</v>
      </c>
      <c r="I52" s="547"/>
      <c r="J52" s="809"/>
      <c r="K52" s="809"/>
      <c r="L52" s="1800" t="str">
        <f>D51</f>
        <v>Водоснабжение, канализация</v>
      </c>
      <c r="M52" s="1803"/>
      <c r="N52" s="1803"/>
      <c r="O52" s="1803"/>
      <c r="P52" s="1806">
        <f>H52+H53+H54-N52</f>
        <v>747900</v>
      </c>
      <c r="Q52" s="1807"/>
      <c r="R52" s="1279"/>
      <c r="S52" s="572"/>
      <c r="T52" s="572"/>
      <c r="U52" s="572"/>
      <c r="V52" s="572"/>
    </row>
    <row r="53" spans="1:22" s="573" customFormat="1" ht="21.75" customHeight="1" x14ac:dyDescent="0.25">
      <c r="A53" s="1120"/>
      <c r="B53" s="531"/>
      <c r="C53" s="1120"/>
      <c r="D53" s="557" t="s">
        <v>375</v>
      </c>
      <c r="E53" s="587" t="s">
        <v>714</v>
      </c>
      <c r="F53" s="564">
        <v>4195</v>
      </c>
      <c r="G53" s="547">
        <f>(H53+I53+J53)/F53</f>
        <v>68.510000000000005</v>
      </c>
      <c r="H53" s="547">
        <v>287400</v>
      </c>
      <c r="I53" s="547"/>
      <c r="J53" s="809"/>
      <c r="K53" s="809"/>
      <c r="L53" s="1801"/>
      <c r="M53" s="1804"/>
      <c r="N53" s="1804"/>
      <c r="O53" s="1804"/>
      <c r="P53" s="1759"/>
      <c r="Q53" s="1808"/>
      <c r="R53" s="1191"/>
      <c r="S53" s="572"/>
      <c r="T53" s="572"/>
      <c r="U53" s="572"/>
      <c r="V53" s="572"/>
    </row>
    <row r="54" spans="1:22" s="573" customFormat="1" ht="21.75" customHeight="1" thickBot="1" x14ac:dyDescent="0.3">
      <c r="A54" s="1121"/>
      <c r="B54" s="534"/>
      <c r="C54" s="1121"/>
      <c r="D54" s="559" t="s">
        <v>713</v>
      </c>
      <c r="E54" s="586" t="s">
        <v>714</v>
      </c>
      <c r="F54" s="565">
        <f>F53*0.5</f>
        <v>2097.5</v>
      </c>
      <c r="G54" s="549">
        <f>(H54+I54+J54)/F54</f>
        <v>68.510000000000005</v>
      </c>
      <c r="H54" s="549">
        <f>H53*0.5</f>
        <v>143700</v>
      </c>
      <c r="I54" s="549"/>
      <c r="J54" s="1089"/>
      <c r="K54" s="549"/>
      <c r="L54" s="1802"/>
      <c r="M54" s="1805"/>
      <c r="N54" s="1805"/>
      <c r="O54" s="1805"/>
      <c r="P54" s="1769"/>
      <c r="Q54" s="1809"/>
      <c r="R54" s="1191"/>
      <c r="S54" s="572"/>
      <c r="T54" s="572"/>
      <c r="U54" s="572"/>
      <c r="V54" s="572"/>
    </row>
    <row r="55" spans="1:22" s="573" customFormat="1" x14ac:dyDescent="0.25">
      <c r="A55" s="1773" t="s">
        <v>614</v>
      </c>
      <c r="B55" s="1813"/>
      <c r="C55" s="1813"/>
      <c r="D55" s="1813"/>
      <c r="E55" s="1813"/>
      <c r="F55" s="543"/>
      <c r="G55" s="1114"/>
      <c r="H55" s="1752"/>
      <c r="I55" s="1750">
        <f>I57</f>
        <v>100000</v>
      </c>
      <c r="J55" s="1752"/>
      <c r="K55" s="1752"/>
      <c r="L55" s="820"/>
      <c r="M55" s="820"/>
      <c r="N55" s="851"/>
      <c r="O55" s="851"/>
      <c r="P55" s="851"/>
      <c r="Q55" s="820"/>
      <c r="R55" s="1191"/>
      <c r="S55" s="572"/>
      <c r="T55" s="572"/>
      <c r="U55" s="572"/>
      <c r="V55" s="572"/>
    </row>
    <row r="56" spans="1:22" s="573" customFormat="1" ht="27" customHeight="1" thickBot="1" x14ac:dyDescent="0.3">
      <c r="A56" s="1754"/>
      <c r="B56" s="1755"/>
      <c r="C56" s="1755"/>
      <c r="D56" s="1755"/>
      <c r="E56" s="1755"/>
      <c r="F56" s="550"/>
      <c r="G56" s="1115"/>
      <c r="H56" s="1753"/>
      <c r="I56" s="1751"/>
      <c r="J56" s="1753"/>
      <c r="K56" s="1753"/>
      <c r="L56" s="820"/>
      <c r="M56" s="820"/>
      <c r="N56" s="851"/>
      <c r="O56" s="851"/>
      <c r="P56" s="851"/>
      <c r="Q56" s="820"/>
      <c r="R56" s="1191"/>
      <c r="S56" s="572"/>
      <c r="T56" s="572"/>
      <c r="U56" s="572"/>
      <c r="V56" s="572"/>
    </row>
    <row r="57" spans="1:22" s="573" customFormat="1" ht="40.200000000000003" thickBot="1" x14ac:dyDescent="0.3">
      <c r="A57" s="1205">
        <v>321</v>
      </c>
      <c r="B57" s="1205">
        <v>265</v>
      </c>
      <c r="C57" s="1205">
        <v>917</v>
      </c>
      <c r="D57" s="540" t="s">
        <v>861</v>
      </c>
      <c r="E57" s="583" t="s">
        <v>182</v>
      </c>
      <c r="F57" s="563">
        <v>3</v>
      </c>
      <c r="G57" s="545">
        <f>(H57+I57+J57)/F57</f>
        <v>33333.33</v>
      </c>
      <c r="H57" s="545"/>
      <c r="I57" s="823">
        <v>100000</v>
      </c>
      <c r="J57" s="545"/>
      <c r="K57" s="724"/>
      <c r="L57" s="1172" t="str">
        <f>D57</f>
        <v>Расходы, связанные с переездом из(в) районов(ы) Крайнего Севера</v>
      </c>
      <c r="M57" s="1206"/>
      <c r="N57" s="1207"/>
      <c r="O57" s="1207"/>
      <c r="P57" s="1207">
        <f>I57-N57</f>
        <v>100000</v>
      </c>
      <c r="Q57" s="1208"/>
      <c r="R57" s="1191"/>
      <c r="S57" s="572"/>
      <c r="T57" s="572"/>
      <c r="U57" s="572"/>
      <c r="V57" s="572"/>
    </row>
    <row r="58" spans="1:22" ht="15.75" customHeight="1" x14ac:dyDescent="0.25">
      <c r="A58" s="1134"/>
      <c r="B58" s="1134"/>
      <c r="C58" s="1134"/>
      <c r="D58" s="1135" t="s">
        <v>8</v>
      </c>
      <c r="E58" s="1136"/>
      <c r="F58" s="740"/>
      <c r="G58" s="1137"/>
      <c r="H58" s="1137">
        <f>H45+H17+H14+H12+H8+H55</f>
        <v>55740300</v>
      </c>
      <c r="I58" s="1137">
        <f>I45+I17+I14+I12+I8+I55</f>
        <v>1060300</v>
      </c>
      <c r="J58" s="1137">
        <f>J45+J17+J14+J12+J8+J55</f>
        <v>160000</v>
      </c>
      <c r="K58" s="1509">
        <f>K8+K12+K14+K17+K45+K55</f>
        <v>339300</v>
      </c>
    </row>
    <row r="59" spans="1:22" ht="36.75" customHeight="1" x14ac:dyDescent="0.25">
      <c r="K59" s="1285"/>
    </row>
    <row r="60" spans="1:22" ht="15.75" customHeight="1" x14ac:dyDescent="0.25">
      <c r="H60" s="789">
        <f>'поступления 831, 841 26-28'!F10</f>
        <v>55740300</v>
      </c>
      <c r="I60" s="789">
        <f>'поступления 831, 841 26-28'!F19</f>
        <v>1060300</v>
      </c>
      <c r="J60" s="789">
        <f>'поступления 831, 841 26-28'!F18</f>
        <v>160000</v>
      </c>
      <c r="K60" s="1273">
        <f>'поступления 831, 841 26-28'!F20</f>
        <v>339300</v>
      </c>
    </row>
    <row r="61" spans="1:22" ht="14.25" customHeight="1" x14ac:dyDescent="0.25">
      <c r="A61" s="784" t="s">
        <v>128</v>
      </c>
      <c r="H61" s="789">
        <f t="shared" ref="H61:K61" si="14">H58-H60</f>
        <v>0</v>
      </c>
      <c r="I61" s="789">
        <f t="shared" si="14"/>
        <v>0</v>
      </c>
      <c r="J61" s="789">
        <f t="shared" si="14"/>
        <v>0</v>
      </c>
      <c r="K61" s="1273">
        <f t="shared" si="14"/>
        <v>0</v>
      </c>
    </row>
    <row r="62" spans="1:22" ht="12.75" customHeight="1" x14ac:dyDescent="0.25">
      <c r="A62" s="1745" t="s">
        <v>895</v>
      </c>
      <c r="B62" s="1745"/>
      <c r="C62" s="1745"/>
      <c r="D62" s="1745"/>
      <c r="H62" s="789">
        <f>H58-'поступления 831, 841 26-28'!F8</f>
        <v>0</v>
      </c>
      <c r="I62" s="789">
        <f>'поступления 831, 841 26-28'!F19-'расходы 831, 841 26'!I58</f>
        <v>0</v>
      </c>
      <c r="J62" s="789">
        <f>'поступления 831, 841 26-28'!F18-'расходы 831, 841 26'!J58</f>
        <v>0</v>
      </c>
      <c r="K62" s="1273">
        <f>'поступления 831, 841 26-28'!F20-'расходы 831, 841 26'!K58</f>
        <v>0</v>
      </c>
    </row>
    <row r="63" spans="1:22" ht="12.75" customHeight="1" x14ac:dyDescent="0.25">
      <c r="A63" s="1745" t="s">
        <v>778</v>
      </c>
      <c r="B63" s="1745"/>
      <c r="C63" s="1745"/>
      <c r="D63" s="1745"/>
      <c r="H63" s="789"/>
      <c r="I63" s="789"/>
      <c r="J63" s="789"/>
      <c r="K63" s="1273"/>
    </row>
    <row r="65" spans="1:4" ht="77.400000000000006" customHeight="1" x14ac:dyDescent="0.25">
      <c r="A65" s="1743"/>
      <c r="B65" s="1744"/>
      <c r="C65" s="1744"/>
      <c r="D65" s="1744"/>
    </row>
    <row r="66" spans="1:4" ht="18" x14ac:dyDescent="0.25">
      <c r="A66" s="1200"/>
      <c r="B66" s="1201"/>
      <c r="C66" s="1201"/>
      <c r="D66" s="1202"/>
    </row>
    <row r="67" spans="1:4" ht="18" x14ac:dyDescent="0.25">
      <c r="A67" s="1200"/>
      <c r="B67" s="1201"/>
      <c r="C67" s="1201"/>
      <c r="D67" s="1202"/>
    </row>
    <row r="68" spans="1:4" x14ac:dyDescent="0.25">
      <c r="A68" s="1175"/>
      <c r="B68" s="1176"/>
      <c r="C68" s="1176"/>
      <c r="D68" s="1176"/>
    </row>
    <row r="69" spans="1:4" x14ac:dyDescent="0.25">
      <c r="A69" s="898"/>
      <c r="B69" s="483"/>
      <c r="C69" s="483"/>
      <c r="D69" s="555"/>
    </row>
    <row r="71" spans="1:4" x14ac:dyDescent="0.25">
      <c r="A71" s="903"/>
    </row>
    <row r="73" spans="1:4" x14ac:dyDescent="0.25">
      <c r="A73" s="844"/>
      <c r="B73" s="844"/>
      <c r="C73" s="844"/>
      <c r="D73" s="843"/>
    </row>
    <row r="74" spans="1:4" x14ac:dyDescent="0.25">
      <c r="A74" s="844"/>
      <c r="B74" s="844"/>
      <c r="C74" s="844"/>
      <c r="D74" s="843"/>
    </row>
    <row r="75" spans="1:4" x14ac:dyDescent="0.25">
      <c r="A75" s="844"/>
      <c r="B75" s="844"/>
      <c r="C75" s="844"/>
      <c r="D75" s="843"/>
    </row>
    <row r="76" spans="1:4" x14ac:dyDescent="0.25">
      <c r="A76" s="825"/>
      <c r="B76" s="844"/>
      <c r="C76" s="844"/>
      <c r="D76" s="843"/>
    </row>
    <row r="77" spans="1:4" x14ac:dyDescent="0.25">
      <c r="A77" s="844"/>
      <c r="B77" s="844"/>
      <c r="C77" s="844"/>
      <c r="D77" s="843"/>
    </row>
    <row r="78" spans="1:4" x14ac:dyDescent="0.25">
      <c r="A78" s="844"/>
      <c r="B78" s="844"/>
      <c r="C78" s="844"/>
      <c r="D78" s="843"/>
    </row>
    <row r="79" spans="1:4" x14ac:dyDescent="0.25">
      <c r="A79" s="844"/>
      <c r="B79" s="844"/>
      <c r="C79" s="844"/>
      <c r="D79" s="843"/>
    </row>
    <row r="82" spans="1:1" x14ac:dyDescent="0.25">
      <c r="A82" s="840"/>
    </row>
    <row r="84" spans="1:1" x14ac:dyDescent="0.25">
      <c r="A84" s="825"/>
    </row>
    <row r="86" spans="1:1" x14ac:dyDescent="0.25">
      <c r="A86" s="828"/>
    </row>
    <row r="91" spans="1:1" x14ac:dyDescent="0.25">
      <c r="A91" s="826"/>
    </row>
    <row r="187" spans="27:27" x14ac:dyDescent="0.25">
      <c r="AA187" s="529">
        <f>Y187*Z187</f>
        <v>0</v>
      </c>
    </row>
  </sheetData>
  <mergeCells count="54">
    <mergeCell ref="A1:K1"/>
    <mergeCell ref="A2:K2"/>
    <mergeCell ref="A63:D63"/>
    <mergeCell ref="A55:E56"/>
    <mergeCell ref="H55:H56"/>
    <mergeCell ref="K55:K56"/>
    <mergeCell ref="A14:E14"/>
    <mergeCell ref="P47:P49"/>
    <mergeCell ref="Q47:Q49"/>
    <mergeCell ref="L52:L54"/>
    <mergeCell ref="M52:M54"/>
    <mergeCell ref="N52:N54"/>
    <mergeCell ref="O52:O54"/>
    <mergeCell ref="P52:P54"/>
    <mergeCell ref="Q52:Q54"/>
    <mergeCell ref="L47:L49"/>
    <mergeCell ref="M47:M49"/>
    <mergeCell ref="N47:N49"/>
    <mergeCell ref="O47:O49"/>
    <mergeCell ref="Q4:Q7"/>
    <mergeCell ref="A8:E8"/>
    <mergeCell ref="L8:Q17"/>
    <mergeCell ref="A17:E17"/>
    <mergeCell ref="O4:O7"/>
    <mergeCell ref="H6:H7"/>
    <mergeCell ref="P4:P7"/>
    <mergeCell ref="L4:L7"/>
    <mergeCell ref="M4:M7"/>
    <mergeCell ref="N4:N7"/>
    <mergeCell ref="F4:K4"/>
    <mergeCell ref="H5:K5"/>
    <mergeCell ref="I6:K6"/>
    <mergeCell ref="P36:P37"/>
    <mergeCell ref="O36:O37"/>
    <mergeCell ref="L19:Q20"/>
    <mergeCell ref="N36:N37"/>
    <mergeCell ref="M36:M37"/>
    <mergeCell ref="L36:L37"/>
    <mergeCell ref="L22:L24"/>
    <mergeCell ref="Q36:Q37"/>
    <mergeCell ref="A65:D65"/>
    <mergeCell ref="A62:D62"/>
    <mergeCell ref="A3:J3"/>
    <mergeCell ref="A4:A7"/>
    <mergeCell ref="D4:D7"/>
    <mergeCell ref="C4:C7"/>
    <mergeCell ref="B4:B7"/>
    <mergeCell ref="E4:E7"/>
    <mergeCell ref="G5:G7"/>
    <mergeCell ref="F5:F7"/>
    <mergeCell ref="I55:I56"/>
    <mergeCell ref="J55:J56"/>
    <mergeCell ref="A12:E12"/>
    <mergeCell ref="A45:E45"/>
  </mergeCells>
  <pageMargins left="1.1811023622047245" right="0.19685039370078741" top="0.31496062992125984" bottom="0.15748031496062992" header="0.31496062992125984" footer="0.31496062992125984"/>
  <pageSetup paperSize="9" scale="47" orientation="portrait" r:id="rId1"/>
  <rowBreaks count="2" manualBreakCount="2">
    <brk id="44" max="10" man="1"/>
    <brk id="6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pageSetUpPr fitToPage="1"/>
  </sheetPr>
  <dimension ref="A1:AA207"/>
  <sheetViews>
    <sheetView showGridLines="0" tabSelected="1" view="pageBreakPreview" zoomScale="70" zoomScaleNormal="100" zoomScaleSheetLayoutView="70" workbookViewId="0">
      <pane ySplit="7" topLeftCell="A17" activePane="bottomLeft" state="frozen"/>
      <selection pane="bottomLeft" activeCell="D24" sqref="D24"/>
    </sheetView>
  </sheetViews>
  <sheetFormatPr defaultColWidth="9.33203125" defaultRowHeight="13.2" x14ac:dyDescent="0.25"/>
  <cols>
    <col min="1" max="3" width="9.33203125" style="784"/>
    <col min="4" max="4" width="55.77734375" style="841" customWidth="1"/>
    <col min="5" max="5" width="14" style="786" customWidth="1"/>
    <col min="6" max="6" width="12" style="787" customWidth="1"/>
    <col min="7" max="7" width="16" style="788" customWidth="1"/>
    <col min="8" max="8" width="21" style="788" customWidth="1"/>
    <col min="9" max="10" width="21" style="788" hidden="1" customWidth="1"/>
    <col min="11" max="11" width="26.33203125" style="817" customWidth="1"/>
    <col min="12" max="12" width="86.77734375" style="881" customWidth="1"/>
    <col min="13" max="13" width="15.109375" style="789" customWidth="1"/>
    <col min="14" max="14" width="15.109375" style="1468" customWidth="1"/>
    <col min="15" max="15" width="15" style="789" customWidth="1"/>
    <col min="16" max="16" width="63.33203125" style="528" customWidth="1"/>
    <col min="17" max="18" width="9.33203125" style="528"/>
    <col min="19" max="19" width="36.77734375" style="528" customWidth="1"/>
    <col min="20" max="22" width="9.33203125" style="528"/>
    <col min="23" max="16384" width="9.33203125" style="529"/>
  </cols>
  <sheetData>
    <row r="1" spans="1:24" ht="16.8" x14ac:dyDescent="0.25">
      <c r="A1" s="1835" t="s">
        <v>917</v>
      </c>
      <c r="B1" s="1835"/>
      <c r="C1" s="1835"/>
      <c r="D1" s="1835"/>
      <c r="E1" s="1835"/>
      <c r="F1" s="1835"/>
      <c r="G1" s="1835"/>
      <c r="H1" s="1835"/>
      <c r="I1" s="1144"/>
      <c r="J1" s="1151"/>
    </row>
    <row r="2" spans="1:24" ht="20.399999999999999" x14ac:dyDescent="0.25">
      <c r="A2" s="1835" t="s">
        <v>773</v>
      </c>
      <c r="B2" s="1835"/>
      <c r="C2" s="1835"/>
      <c r="D2" s="1835"/>
      <c r="E2" s="1835"/>
      <c r="F2" s="1835"/>
      <c r="G2" s="1835"/>
      <c r="H2" s="1835"/>
      <c r="I2" s="1144"/>
      <c r="J2" s="1151"/>
      <c r="K2" s="818"/>
      <c r="L2" s="882"/>
      <c r="M2" s="502"/>
      <c r="N2" s="502"/>
    </row>
    <row r="3" spans="1:24" ht="17.399999999999999" x14ac:dyDescent="0.25">
      <c r="A3" s="1746" t="s">
        <v>784</v>
      </c>
      <c r="B3" s="1746"/>
      <c r="C3" s="1746"/>
      <c r="D3" s="1746"/>
      <c r="E3" s="1746"/>
      <c r="F3" s="1746"/>
      <c r="G3" s="1746"/>
      <c r="H3" s="1746"/>
      <c r="I3" s="1145"/>
      <c r="J3" s="1152"/>
      <c r="K3" s="819"/>
      <c r="L3" s="883"/>
      <c r="M3" s="849"/>
      <c r="N3" s="849"/>
    </row>
    <row r="4" spans="1:24" s="573" customFormat="1" x14ac:dyDescent="0.25">
      <c r="A4" s="1747" t="s">
        <v>621</v>
      </c>
      <c r="B4" s="1747" t="s">
        <v>332</v>
      </c>
      <c r="C4" s="1747" t="s">
        <v>676</v>
      </c>
      <c r="D4" s="1748" t="s">
        <v>175</v>
      </c>
      <c r="E4" s="1836" t="s">
        <v>180</v>
      </c>
      <c r="F4" s="1841" t="s">
        <v>692</v>
      </c>
      <c r="G4" s="1842"/>
      <c r="H4" s="1842"/>
      <c r="I4" s="1842"/>
      <c r="J4" s="1843"/>
      <c r="K4" s="1849" t="s">
        <v>175</v>
      </c>
      <c r="L4" s="1849" t="s">
        <v>799</v>
      </c>
      <c r="M4" s="1851" t="s">
        <v>81</v>
      </c>
      <c r="N4" s="1849" t="s">
        <v>916</v>
      </c>
      <c r="O4" s="1849" t="s">
        <v>800</v>
      </c>
      <c r="P4" s="572"/>
      <c r="Q4" s="572"/>
      <c r="R4" s="572"/>
      <c r="S4" s="572"/>
      <c r="T4" s="572"/>
      <c r="U4" s="572"/>
      <c r="V4" s="572"/>
    </row>
    <row r="5" spans="1:24" s="573" customFormat="1" x14ac:dyDescent="0.25">
      <c r="A5" s="1747"/>
      <c r="B5" s="1747"/>
      <c r="C5" s="1747"/>
      <c r="D5" s="1748"/>
      <c r="E5" s="1837"/>
      <c r="F5" s="1749" t="s">
        <v>682</v>
      </c>
      <c r="G5" s="1749" t="s">
        <v>679</v>
      </c>
      <c r="H5" s="1840" t="s">
        <v>685</v>
      </c>
      <c r="I5" s="1840"/>
      <c r="J5" s="1840"/>
      <c r="K5" s="1759"/>
      <c r="L5" s="1759"/>
      <c r="M5" s="1830"/>
      <c r="N5" s="1759"/>
      <c r="O5" s="1830"/>
      <c r="P5" s="572"/>
      <c r="Q5" s="572"/>
      <c r="R5" s="572"/>
      <c r="S5" s="572"/>
      <c r="T5" s="572"/>
      <c r="U5" s="572"/>
      <c r="V5" s="572"/>
    </row>
    <row r="6" spans="1:24" s="573" customFormat="1" ht="30.75" customHeight="1" x14ac:dyDescent="0.25">
      <c r="A6" s="1747"/>
      <c r="B6" s="1747"/>
      <c r="C6" s="1747"/>
      <c r="D6" s="1748"/>
      <c r="E6" s="1837"/>
      <c r="F6" s="1749"/>
      <c r="G6" s="1749"/>
      <c r="H6" s="1839" t="s">
        <v>745</v>
      </c>
      <c r="I6" s="1749" t="s">
        <v>742</v>
      </c>
      <c r="J6" s="1749" t="s">
        <v>835</v>
      </c>
      <c r="K6" s="1759"/>
      <c r="L6" s="1759"/>
      <c r="M6" s="1830"/>
      <c r="N6" s="1759"/>
      <c r="O6" s="1830"/>
      <c r="P6" s="572"/>
      <c r="Q6" s="572"/>
      <c r="R6" s="572"/>
      <c r="S6" s="572"/>
      <c r="T6" s="572"/>
      <c r="U6" s="572"/>
      <c r="V6" s="572"/>
    </row>
    <row r="7" spans="1:24" s="772" customFormat="1" ht="51.75" customHeight="1" x14ac:dyDescent="0.25">
      <c r="A7" s="1747"/>
      <c r="B7" s="1747"/>
      <c r="C7" s="1747"/>
      <c r="D7" s="1748"/>
      <c r="E7" s="1838"/>
      <c r="F7" s="1749"/>
      <c r="G7" s="1749"/>
      <c r="H7" s="1839"/>
      <c r="I7" s="1749"/>
      <c r="J7" s="1749"/>
      <c r="K7" s="1760"/>
      <c r="L7" s="1760"/>
      <c r="M7" s="1850"/>
      <c r="N7" s="1760"/>
      <c r="O7" s="1850"/>
      <c r="P7" s="776"/>
      <c r="Q7" s="776"/>
      <c r="R7" s="776"/>
      <c r="S7" s="776"/>
      <c r="T7" s="776"/>
      <c r="U7" s="776"/>
      <c r="V7" s="776"/>
    </row>
    <row r="8" spans="1:24" ht="41.25" customHeight="1" x14ac:dyDescent="0.25">
      <c r="A8" s="1857" t="s">
        <v>440</v>
      </c>
      <c r="B8" s="1858"/>
      <c r="C8" s="1858"/>
      <c r="D8" s="1858"/>
      <c r="E8" s="1859"/>
      <c r="F8" s="794"/>
      <c r="G8" s="740"/>
      <c r="H8" s="794">
        <f>H9+H13</f>
        <v>97600</v>
      </c>
      <c r="I8" s="795">
        <f>I9+I13</f>
        <v>0</v>
      </c>
      <c r="J8" s="795">
        <f>J9+J13</f>
        <v>0</v>
      </c>
      <c r="K8" s="1852"/>
      <c r="L8" s="1852"/>
      <c r="M8" s="1852"/>
      <c r="N8" s="1852"/>
      <c r="O8" s="1852"/>
      <c r="P8" s="866"/>
    </row>
    <row r="9" spans="1:24" s="573" customFormat="1" ht="37.200000000000003" customHeight="1" thickBot="1" x14ac:dyDescent="0.3">
      <c r="A9" s="1016"/>
      <c r="B9" s="1053"/>
      <c r="C9" s="1016">
        <v>912</v>
      </c>
      <c r="D9" s="1014" t="s">
        <v>844</v>
      </c>
      <c r="E9" s="1118"/>
      <c r="F9" s="545"/>
      <c r="G9" s="545"/>
      <c r="H9" s="577">
        <f>H10+H11+H12</f>
        <v>41600</v>
      </c>
      <c r="I9" s="781">
        <f>I10+I11+I12</f>
        <v>0</v>
      </c>
      <c r="J9" s="545"/>
      <c r="K9" s="1383"/>
      <c r="L9" s="1384"/>
      <c r="M9" s="896"/>
      <c r="N9" s="1469"/>
      <c r="O9" s="1385"/>
      <c r="P9" s="806"/>
      <c r="Q9" s="572"/>
      <c r="R9" s="572"/>
      <c r="S9" s="572"/>
      <c r="T9" s="572"/>
      <c r="U9" s="572"/>
      <c r="V9" s="572"/>
    </row>
    <row r="10" spans="1:24" s="573" customFormat="1" x14ac:dyDescent="0.25">
      <c r="A10" s="1054">
        <v>112</v>
      </c>
      <c r="B10" s="1054">
        <v>212</v>
      </c>
      <c r="C10" s="1054">
        <v>912</v>
      </c>
      <c r="D10" s="1013" t="s">
        <v>853</v>
      </c>
      <c r="E10" s="1167" t="s">
        <v>740</v>
      </c>
      <c r="F10" s="547">
        <v>6</v>
      </c>
      <c r="G10" s="547">
        <f>H10/F10</f>
        <v>700</v>
      </c>
      <c r="H10" s="547">
        <v>4200</v>
      </c>
      <c r="I10" s="803"/>
      <c r="J10" s="547"/>
      <c r="K10" s="1023" t="str">
        <f>D10</f>
        <v>Суточные</v>
      </c>
      <c r="L10" s="1102"/>
      <c r="M10" s="1323"/>
      <c r="N10" s="1467"/>
      <c r="O10" s="1321">
        <f>H10-M10</f>
        <v>4200</v>
      </c>
      <c r="P10" s="572"/>
      <c r="Q10" s="572"/>
      <c r="R10" s="572"/>
      <c r="S10" s="572"/>
      <c r="T10" s="572"/>
      <c r="U10" s="572"/>
      <c r="V10" s="572"/>
    </row>
    <row r="11" spans="1:24" s="573" customFormat="1" ht="13.8" thickBot="1" x14ac:dyDescent="0.3">
      <c r="A11" s="1054">
        <v>112</v>
      </c>
      <c r="B11" s="1054">
        <v>226</v>
      </c>
      <c r="C11" s="1054">
        <v>912</v>
      </c>
      <c r="D11" s="1013" t="s">
        <v>854</v>
      </c>
      <c r="E11" s="1223" t="s">
        <v>182</v>
      </c>
      <c r="F11" s="547">
        <v>1</v>
      </c>
      <c r="G11" s="547">
        <f>H11/F11</f>
        <v>33400</v>
      </c>
      <c r="H11" s="547">
        <v>33400</v>
      </c>
      <c r="I11" s="803"/>
      <c r="J11" s="547"/>
      <c r="K11" s="1474" t="str">
        <f>D11</f>
        <v>Проживание и проезд</v>
      </c>
      <c r="L11" s="1502"/>
      <c r="M11" s="1472"/>
      <c r="N11" s="1482"/>
      <c r="O11" s="1475">
        <f>H11-M11</f>
        <v>33400</v>
      </c>
      <c r="P11" s="572"/>
      <c r="Q11" s="572"/>
      <c r="R11" s="572"/>
      <c r="S11" s="572"/>
      <c r="T11" s="572"/>
      <c r="U11" s="572"/>
      <c r="V11" s="572"/>
    </row>
    <row r="12" spans="1:24" s="846" customFormat="1" ht="13.8" thickBot="1" x14ac:dyDescent="0.3">
      <c r="A12" s="1054">
        <v>112</v>
      </c>
      <c r="B12" s="1054">
        <v>226</v>
      </c>
      <c r="C12" s="1054">
        <v>912</v>
      </c>
      <c r="D12" s="1013" t="s">
        <v>855</v>
      </c>
      <c r="E12" s="1223" t="s">
        <v>718</v>
      </c>
      <c r="F12" s="565">
        <v>1</v>
      </c>
      <c r="G12" s="549">
        <f>(H12)/F12</f>
        <v>4000</v>
      </c>
      <c r="H12" s="549">
        <v>4000</v>
      </c>
      <c r="I12" s="804"/>
      <c r="J12" s="549"/>
      <c r="K12" s="1349"/>
      <c r="L12" s="1503"/>
      <c r="M12" s="1392"/>
      <c r="N12" s="1392"/>
      <c r="O12" s="1392"/>
      <c r="P12" s="845"/>
      <c r="Q12" s="845"/>
      <c r="R12" s="845"/>
      <c r="S12" s="845"/>
      <c r="T12" s="806"/>
      <c r="U12" s="806"/>
      <c r="V12" s="806"/>
      <c r="W12" s="806"/>
      <c r="X12" s="806"/>
    </row>
    <row r="13" spans="1:24" s="846" customFormat="1" ht="41.4" customHeight="1" thickBot="1" x14ac:dyDescent="0.3">
      <c r="A13" s="1211">
        <v>112</v>
      </c>
      <c r="B13" s="1211">
        <v>226</v>
      </c>
      <c r="C13" s="1211">
        <v>919</v>
      </c>
      <c r="D13" s="1212" t="s">
        <v>865</v>
      </c>
      <c r="E13" s="1479" t="s">
        <v>182</v>
      </c>
      <c r="F13" s="566">
        <v>1</v>
      </c>
      <c r="G13" s="724">
        <f>H13/F13</f>
        <v>56000</v>
      </c>
      <c r="H13" s="724">
        <f>56000</f>
        <v>56000</v>
      </c>
      <c r="I13" s="824"/>
      <c r="J13" s="724"/>
      <c r="K13" s="1172" t="str">
        <f>D13</f>
        <v>Расходы на прохождение медицинских осмотров, гигиенического обучения</v>
      </c>
      <c r="L13" s="1386"/>
      <c r="M13" s="1222"/>
      <c r="N13" s="1483"/>
      <c r="O13" s="1387">
        <f>H13+I13-M13</f>
        <v>56000</v>
      </c>
      <c r="P13" s="845"/>
      <c r="Q13" s="845"/>
      <c r="R13" s="845"/>
      <c r="S13" s="845"/>
      <c r="T13" s="806"/>
      <c r="U13" s="806"/>
      <c r="V13" s="806"/>
      <c r="W13" s="806"/>
      <c r="X13" s="806"/>
    </row>
    <row r="14" spans="1:24" s="846" customFormat="1" ht="41.4" customHeight="1" thickBot="1" x14ac:dyDescent="0.3">
      <c r="A14" s="1821" t="s">
        <v>904</v>
      </c>
      <c r="B14" s="1822"/>
      <c r="C14" s="1822"/>
      <c r="D14" s="1822"/>
      <c r="E14" s="1823"/>
      <c r="F14" s="740"/>
      <c r="G14" s="740"/>
      <c r="H14" s="740">
        <f>H15</f>
        <v>25200</v>
      </c>
      <c r="I14" s="781"/>
      <c r="J14" s="998"/>
      <c r="K14" s="1350"/>
      <c r="L14" s="1422"/>
      <c r="M14" s="1392"/>
      <c r="N14" s="1469"/>
      <c r="O14" s="1411"/>
      <c r="P14" s="845"/>
      <c r="Q14" s="845"/>
      <c r="R14" s="845"/>
      <c r="S14" s="845"/>
      <c r="T14" s="806"/>
      <c r="U14" s="806"/>
      <c r="V14" s="806"/>
      <c r="W14" s="806"/>
      <c r="X14" s="806"/>
    </row>
    <row r="15" spans="1:24" s="846" customFormat="1" ht="99" customHeight="1" thickBot="1" x14ac:dyDescent="0.3">
      <c r="A15" s="1423">
        <v>113</v>
      </c>
      <c r="B15" s="1423">
        <v>226</v>
      </c>
      <c r="C15" s="1423">
        <v>966</v>
      </c>
      <c r="D15" s="1424" t="s">
        <v>226</v>
      </c>
      <c r="E15" s="591" t="s">
        <v>740</v>
      </c>
      <c r="F15" s="566">
        <v>36</v>
      </c>
      <c r="G15" s="724">
        <f>H15/F15</f>
        <v>700</v>
      </c>
      <c r="H15" s="1425">
        <v>25200</v>
      </c>
      <c r="I15" s="781"/>
      <c r="J15" s="998"/>
      <c r="K15" s="1172" t="str">
        <f>D15</f>
        <v>Выплата суточных, а также денежных средств на питание (при невозможности приобретения услуг по его организации), а также компенсация расходов на проезд и проживание в жилых помещениях (найм жилого помещения) спортсменам и студентам при их направлении на различного рода мероприятия (соревнования, олимпиады, учебную практику и иные мероприятия) и приглашенным лицам</v>
      </c>
      <c r="L15" s="1386"/>
      <c r="M15" s="1369"/>
      <c r="N15" s="1492"/>
      <c r="O15" s="1387">
        <f>H15-M15</f>
        <v>25200</v>
      </c>
      <c r="P15" s="845"/>
      <c r="Q15" s="845"/>
      <c r="R15" s="845"/>
      <c r="S15" s="845"/>
      <c r="T15" s="806"/>
      <c r="U15" s="806"/>
      <c r="V15" s="806"/>
      <c r="W15" s="806"/>
      <c r="X15" s="806"/>
    </row>
    <row r="16" spans="1:24" s="846" customFormat="1" ht="49.95" customHeight="1" x14ac:dyDescent="0.25">
      <c r="A16" s="1855" t="s">
        <v>684</v>
      </c>
      <c r="B16" s="1855"/>
      <c r="C16" s="1855"/>
      <c r="D16" s="1855"/>
      <c r="E16" s="1856"/>
      <c r="F16" s="1158"/>
      <c r="G16" s="1158"/>
      <c r="H16" s="1159">
        <f>H17</f>
        <v>17000</v>
      </c>
      <c r="I16" s="1159">
        <f>I17</f>
        <v>0</v>
      </c>
      <c r="J16" s="795">
        <f>J17+J23</f>
        <v>0</v>
      </c>
      <c r="K16" s="1155"/>
      <c r="L16" s="1209"/>
      <c r="M16" s="1367"/>
      <c r="N16" s="1367"/>
      <c r="O16" s="1352"/>
      <c r="P16" s="845"/>
      <c r="Q16" s="845"/>
      <c r="R16" s="845"/>
      <c r="S16" s="845"/>
      <c r="T16" s="806"/>
      <c r="U16" s="806"/>
      <c r="V16" s="806"/>
      <c r="W16" s="806"/>
      <c r="X16" s="806"/>
    </row>
    <row r="17" spans="1:24" s="846" customFormat="1" ht="16.95" customHeight="1" x14ac:dyDescent="0.25">
      <c r="A17" s="561"/>
      <c r="B17" s="537"/>
      <c r="C17" s="561">
        <v>992</v>
      </c>
      <c r="D17" s="1001" t="s">
        <v>678</v>
      </c>
      <c r="E17" s="1001"/>
      <c r="F17" s="563"/>
      <c r="G17" s="545"/>
      <c r="H17" s="545">
        <f>H18</f>
        <v>17000</v>
      </c>
      <c r="I17" s="545">
        <f>I18</f>
        <v>0</v>
      </c>
      <c r="J17" s="545"/>
      <c r="K17" s="1155"/>
      <c r="L17" s="1156"/>
      <c r="M17" s="896"/>
      <c r="N17" s="1469"/>
      <c r="O17" s="1157"/>
      <c r="P17" s="845"/>
      <c r="Q17" s="845"/>
      <c r="R17" s="845"/>
      <c r="S17" s="845"/>
      <c r="T17" s="806"/>
      <c r="U17" s="806"/>
      <c r="V17" s="806"/>
      <c r="W17" s="806"/>
      <c r="X17" s="806"/>
    </row>
    <row r="18" spans="1:24" s="846" customFormat="1" x14ac:dyDescent="0.25">
      <c r="A18" s="536">
        <v>119</v>
      </c>
      <c r="B18" s="533">
        <v>213</v>
      </c>
      <c r="C18" s="536">
        <v>992</v>
      </c>
      <c r="D18" s="811" t="s">
        <v>678</v>
      </c>
      <c r="E18" s="586" t="s">
        <v>683</v>
      </c>
      <c r="F18" s="565">
        <v>4</v>
      </c>
      <c r="G18" s="549">
        <f>H18/F18</f>
        <v>4250</v>
      </c>
      <c r="H18" s="549">
        <v>17000</v>
      </c>
      <c r="I18" s="549"/>
      <c r="J18" s="547"/>
      <c r="K18" s="1210"/>
      <c r="L18" s="1156"/>
      <c r="M18" s="896"/>
      <c r="N18" s="1469"/>
      <c r="O18" s="1157"/>
      <c r="P18" s="845"/>
      <c r="Q18" s="845"/>
      <c r="R18" s="845"/>
      <c r="S18" s="845"/>
      <c r="T18" s="806"/>
      <c r="U18" s="806"/>
      <c r="V18" s="806"/>
      <c r="W18" s="806"/>
      <c r="X18" s="806"/>
    </row>
    <row r="19" spans="1:24" ht="37.5" customHeight="1" x14ac:dyDescent="0.25">
      <c r="A19" s="1821" t="s">
        <v>612</v>
      </c>
      <c r="B19" s="1822"/>
      <c r="C19" s="1822"/>
      <c r="D19" s="1822"/>
      <c r="E19" s="1823"/>
      <c r="F19" s="740"/>
      <c r="G19" s="740"/>
      <c r="H19" s="740">
        <f>H24+H34+H44+H51+H47+H41+H20+H28+H32</f>
        <v>5068700</v>
      </c>
      <c r="I19" s="1154" t="e">
        <f>I24+I34+I44+I51+I47+I41+I20+I28+I32+#REF!+#REF!+#REF!</f>
        <v>#REF!</v>
      </c>
      <c r="J19" s="1154" t="e">
        <f>J24+J34+J44+J51+J47+J41+J20+J28+J32+#REF!+#REF!</f>
        <v>#REF!</v>
      </c>
      <c r="K19" s="1848"/>
      <c r="L19" s="1848"/>
      <c r="M19" s="1848"/>
      <c r="N19" s="1848"/>
      <c r="O19" s="1848"/>
    </row>
    <row r="20" spans="1:24" s="783" customFormat="1" ht="13.8" thickBot="1" x14ac:dyDescent="0.3">
      <c r="A20" s="561">
        <v>244</v>
      </c>
      <c r="B20" s="1055">
        <v>222</v>
      </c>
      <c r="C20" s="538">
        <v>922</v>
      </c>
      <c r="D20" s="540" t="s">
        <v>864</v>
      </c>
      <c r="E20" s="1018"/>
      <c r="F20" s="581"/>
      <c r="G20" s="581"/>
      <c r="H20" s="545">
        <f>SUM(H21:H23)</f>
        <v>461000</v>
      </c>
      <c r="I20" s="796">
        <f>SUM(I22:I23)</f>
        <v>0</v>
      </c>
      <c r="J20" s="545">
        <f>J22</f>
        <v>0</v>
      </c>
      <c r="K20" s="1426"/>
      <c r="L20" s="1398"/>
      <c r="M20" s="1399"/>
      <c r="N20" s="1399"/>
      <c r="O20" s="1399"/>
      <c r="P20" s="1388"/>
      <c r="Q20" s="782"/>
      <c r="R20" s="782"/>
      <c r="S20" s="782"/>
      <c r="T20" s="782"/>
      <c r="U20" s="782"/>
      <c r="V20" s="782"/>
    </row>
    <row r="21" spans="1:24" s="573" customFormat="1" ht="12.6" customHeight="1" x14ac:dyDescent="0.25">
      <c r="A21" s="1319"/>
      <c r="B21" s="1203"/>
      <c r="C21" s="531"/>
      <c r="D21" s="1013" t="s">
        <v>852</v>
      </c>
      <c r="E21" s="1198" t="s">
        <v>182</v>
      </c>
      <c r="F21" s="547">
        <v>3</v>
      </c>
      <c r="G21" s="547">
        <f>H21/F21</f>
        <v>50000</v>
      </c>
      <c r="H21" s="564">
        <v>150000</v>
      </c>
      <c r="I21" s="781"/>
      <c r="J21" s="577"/>
      <c r="K21" s="1204" t="str">
        <f>D21</f>
        <v>Расходы на праздничные программы</v>
      </c>
      <c r="L21" s="911"/>
      <c r="M21" s="1199"/>
      <c r="N21" s="1480"/>
      <c r="O21" s="1322">
        <f>H21+I21+J21-M21</f>
        <v>150000</v>
      </c>
      <c r="P21" s="572"/>
      <c r="Q21" s="572"/>
      <c r="R21" s="572"/>
      <c r="S21" s="572"/>
      <c r="T21" s="572"/>
      <c r="U21" s="572"/>
      <c r="V21" s="572"/>
    </row>
    <row r="22" spans="1:24" s="573" customFormat="1" ht="12.6" customHeight="1" thickBot="1" x14ac:dyDescent="0.3">
      <c r="A22" s="1054"/>
      <c r="B22" s="1054"/>
      <c r="C22" s="1054"/>
      <c r="D22" s="1013" t="s">
        <v>839</v>
      </c>
      <c r="E22" s="1198" t="s">
        <v>803</v>
      </c>
      <c r="F22" s="547">
        <v>1</v>
      </c>
      <c r="G22" s="547">
        <f>H22/F22</f>
        <v>200000</v>
      </c>
      <c r="H22" s="547">
        <v>200000</v>
      </c>
      <c r="I22" s="803"/>
      <c r="J22" s="547"/>
      <c r="K22" s="913" t="str">
        <f>D22</f>
        <v>Транспорные расходы (доставка)</v>
      </c>
      <c r="L22" s="913"/>
      <c r="M22" s="1472"/>
      <c r="N22" s="1482"/>
      <c r="O22" s="1475">
        <f>H22+I22+J22-M22</f>
        <v>200000</v>
      </c>
      <c r="P22" s="572"/>
      <c r="Q22" s="572"/>
      <c r="R22" s="572"/>
      <c r="S22" s="572"/>
      <c r="T22" s="572"/>
      <c r="U22" s="572"/>
      <c r="V22" s="572"/>
    </row>
    <row r="23" spans="1:24" s="573" customFormat="1" x14ac:dyDescent="0.25">
      <c r="A23" s="1054"/>
      <c r="B23" s="1054"/>
      <c r="C23" s="1054"/>
      <c r="D23" s="1013" t="s">
        <v>855</v>
      </c>
      <c r="E23" s="1470" t="s">
        <v>803</v>
      </c>
      <c r="F23" s="547">
        <v>1</v>
      </c>
      <c r="G23" s="547">
        <f>H23/F23</f>
        <v>111000</v>
      </c>
      <c r="H23" s="549">
        <v>111000</v>
      </c>
      <c r="I23" s="803"/>
      <c r="J23" s="549"/>
      <c r="K23" s="1298"/>
      <c r="L23" s="895"/>
      <c r="M23" s="1367"/>
      <c r="N23" s="1367"/>
      <c r="O23" s="1367"/>
      <c r="P23" s="806"/>
      <c r="Q23" s="572"/>
      <c r="R23" s="572"/>
      <c r="S23" s="572"/>
      <c r="T23" s="572"/>
      <c r="U23" s="572"/>
      <c r="V23" s="572"/>
    </row>
    <row r="24" spans="1:24" s="573" customFormat="1" ht="27.75" customHeight="1" thickBot="1" x14ac:dyDescent="0.3">
      <c r="A24" s="1122">
        <v>244</v>
      </c>
      <c r="B24" s="1122">
        <v>221</v>
      </c>
      <c r="C24" s="1122">
        <v>925</v>
      </c>
      <c r="D24" s="992" t="s">
        <v>704</v>
      </c>
      <c r="E24" s="561"/>
      <c r="F24" s="563"/>
      <c r="G24" s="545"/>
      <c r="H24" s="545">
        <f>SUM(H25:H27)</f>
        <v>165900</v>
      </c>
      <c r="I24" s="796">
        <f>SUM(I25:I27)</f>
        <v>0</v>
      </c>
      <c r="J24" s="577"/>
      <c r="K24" s="1337"/>
      <c r="L24" s="1398"/>
      <c r="M24" s="1500"/>
      <c r="N24" s="1500"/>
      <c r="O24" s="1501"/>
      <c r="P24" s="572"/>
      <c r="Q24" s="572"/>
      <c r="R24" s="572"/>
      <c r="S24" s="572"/>
      <c r="T24" s="572"/>
      <c r="U24" s="572"/>
      <c r="V24" s="572"/>
    </row>
    <row r="25" spans="1:24" s="573" customFormat="1" ht="15.75" customHeight="1" x14ac:dyDescent="0.25">
      <c r="A25" s="535"/>
      <c r="B25" s="535"/>
      <c r="C25" s="535"/>
      <c r="D25" s="928" t="s">
        <v>770</v>
      </c>
      <c r="E25" s="1410" t="s">
        <v>178</v>
      </c>
      <c r="F25" s="564">
        <v>12</v>
      </c>
      <c r="G25" s="547">
        <f>H25/F25</f>
        <v>1691.67</v>
      </c>
      <c r="H25" s="547">
        <v>20300</v>
      </c>
      <c r="I25" s="803"/>
      <c r="J25" s="547"/>
      <c r="K25" s="1860" t="str">
        <f>D24</f>
        <v>Услуги связи</v>
      </c>
      <c r="L25" s="1846"/>
      <c r="M25" s="1844"/>
      <c r="N25" s="1484"/>
      <c r="O25" s="1853">
        <f>H25+H26+I26-M24</f>
        <v>145900</v>
      </c>
      <c r="P25" s="572"/>
      <c r="Q25" s="572"/>
      <c r="R25" s="572"/>
      <c r="S25" s="572"/>
      <c r="T25" s="572"/>
      <c r="U25" s="572"/>
      <c r="V25" s="572"/>
    </row>
    <row r="26" spans="1:24" s="573" customFormat="1" ht="19.95" customHeight="1" thickBot="1" x14ac:dyDescent="0.3">
      <c r="A26" s="535"/>
      <c r="B26" s="535"/>
      <c r="C26" s="535"/>
      <c r="D26" s="928" t="s">
        <v>777</v>
      </c>
      <c r="E26" s="1410" t="s">
        <v>178</v>
      </c>
      <c r="F26" s="564">
        <v>12</v>
      </c>
      <c r="G26" s="547">
        <f>H26/F26</f>
        <v>10466.67</v>
      </c>
      <c r="H26" s="547">
        <v>125600</v>
      </c>
      <c r="I26" s="803"/>
      <c r="J26" s="547"/>
      <c r="K26" s="1861"/>
      <c r="L26" s="1847"/>
      <c r="M26" s="1845"/>
      <c r="N26" s="1485"/>
      <c r="O26" s="1854"/>
      <c r="P26" s="572"/>
      <c r="Q26" s="572"/>
      <c r="R26" s="572"/>
      <c r="S26" s="572"/>
      <c r="T26" s="572"/>
      <c r="U26" s="572"/>
      <c r="V26" s="572"/>
    </row>
    <row r="27" spans="1:24" s="573" customFormat="1" ht="26.4" customHeight="1" x14ac:dyDescent="0.25">
      <c r="A27" s="536"/>
      <c r="B27" s="536"/>
      <c r="C27" s="536"/>
      <c r="D27" s="813" t="s">
        <v>668</v>
      </c>
      <c r="E27" s="534" t="s">
        <v>718</v>
      </c>
      <c r="F27" s="565">
        <v>1</v>
      </c>
      <c r="G27" s="549">
        <f>H27/F27</f>
        <v>20000</v>
      </c>
      <c r="H27" s="549">
        <v>20000</v>
      </c>
      <c r="I27" s="804"/>
      <c r="J27" s="547"/>
      <c r="K27" s="1499"/>
      <c r="L27" s="1276"/>
      <c r="M27" s="1394"/>
      <c r="N27" s="1394"/>
      <c r="O27" s="1367"/>
      <c r="P27" s="572"/>
      <c r="Q27" s="572"/>
      <c r="R27" s="572"/>
      <c r="S27" s="572"/>
      <c r="T27" s="572"/>
      <c r="U27" s="572"/>
      <c r="V27" s="572"/>
    </row>
    <row r="28" spans="1:24" s="573" customFormat="1" ht="51.75" customHeight="1" thickBot="1" x14ac:dyDescent="0.3">
      <c r="A28" s="561">
        <v>244</v>
      </c>
      <c r="B28" s="561">
        <v>225</v>
      </c>
      <c r="C28" s="561">
        <v>941</v>
      </c>
      <c r="D28" s="891" t="s">
        <v>845</v>
      </c>
      <c r="E28" s="1229"/>
      <c r="F28" s="584"/>
      <c r="G28" s="585"/>
      <c r="H28" s="545">
        <f>SUM(H29:H31)</f>
        <v>452000</v>
      </c>
      <c r="I28" s="796">
        <f>SUM(I29:I31)</f>
        <v>0</v>
      </c>
      <c r="J28" s="545"/>
      <c r="K28" s="1277"/>
      <c r="L28" s="895"/>
      <c r="M28" s="1397"/>
      <c r="N28" s="1397"/>
      <c r="O28" s="1397"/>
      <c r="P28" s="806"/>
      <c r="Q28" s="572"/>
      <c r="R28" s="572"/>
      <c r="S28" s="572"/>
      <c r="T28" s="572"/>
      <c r="U28" s="572"/>
      <c r="V28" s="572"/>
    </row>
    <row r="29" spans="1:24" s="573" customFormat="1" ht="22.5" customHeight="1" x14ac:dyDescent="0.25">
      <c r="A29" s="576"/>
      <c r="B29" s="576"/>
      <c r="C29" s="576"/>
      <c r="D29" s="557" t="s">
        <v>379</v>
      </c>
      <c r="E29" s="587" t="s">
        <v>785</v>
      </c>
      <c r="F29" s="564">
        <v>4</v>
      </c>
      <c r="G29" s="547">
        <f>H29/F29</f>
        <v>12500</v>
      </c>
      <c r="H29" s="1428">
        <v>50000</v>
      </c>
      <c r="I29" s="546"/>
      <c r="J29" s="547"/>
      <c r="K29" s="911" t="str">
        <f>D29</f>
        <v>Мерзлотно - технический надзор за зданием</v>
      </c>
      <c r="L29" s="911"/>
      <c r="M29" s="1095"/>
      <c r="N29" s="1487"/>
      <c r="O29" s="1322">
        <f>H29-M29</f>
        <v>50000</v>
      </c>
      <c r="P29" s="572"/>
      <c r="Q29" s="572"/>
      <c r="R29" s="572"/>
      <c r="S29" s="572"/>
      <c r="T29" s="572"/>
      <c r="U29" s="572"/>
      <c r="V29" s="572"/>
    </row>
    <row r="30" spans="1:24" s="573" customFormat="1" ht="22.5" customHeight="1" x14ac:dyDescent="0.25">
      <c r="A30" s="576"/>
      <c r="B30" s="576"/>
      <c r="C30" s="576"/>
      <c r="D30" s="557" t="s">
        <v>877</v>
      </c>
      <c r="E30" s="587" t="s">
        <v>181</v>
      </c>
      <c r="F30" s="564">
        <v>8</v>
      </c>
      <c r="G30" s="547">
        <f>H30/F30</f>
        <v>1750</v>
      </c>
      <c r="H30" s="1428">
        <v>14000</v>
      </c>
      <c r="I30" s="546"/>
      <c r="J30" s="547"/>
      <c r="K30" s="1173" t="str">
        <f>D30</f>
        <v>Перекатка пожарного рукава</v>
      </c>
      <c r="L30" s="912"/>
      <c r="M30" s="1174"/>
      <c r="N30" s="1486"/>
      <c r="O30" s="1326">
        <f>H30-M30</f>
        <v>14000</v>
      </c>
      <c r="P30" s="572"/>
      <c r="Q30" s="572"/>
      <c r="R30" s="572"/>
      <c r="S30" s="572"/>
      <c r="T30" s="572"/>
      <c r="U30" s="572"/>
      <c r="V30" s="572"/>
    </row>
    <row r="31" spans="1:24" s="573" customFormat="1" ht="30" customHeight="1" thickBot="1" x14ac:dyDescent="0.3">
      <c r="A31" s="576"/>
      <c r="B31" s="576"/>
      <c r="C31" s="576"/>
      <c r="D31" s="1427" t="s">
        <v>905</v>
      </c>
      <c r="E31" s="1230" t="s">
        <v>718</v>
      </c>
      <c r="F31" s="564">
        <v>1</v>
      </c>
      <c r="G31" s="547">
        <f>H31/F31</f>
        <v>388000</v>
      </c>
      <c r="H31" s="547">
        <v>388000</v>
      </c>
      <c r="I31" s="803"/>
      <c r="J31" s="547"/>
      <c r="K31" s="910" t="str">
        <f>D31</f>
        <v>Ремонт оргтехники (МФУ, принтеры, ноутбуки, плазменные панели)</v>
      </c>
      <c r="L31" s="910"/>
      <c r="M31" s="1174"/>
      <c r="N31" s="1486"/>
      <c r="O31" s="1326">
        <f>H31-M31</f>
        <v>388000</v>
      </c>
      <c r="P31" s="572"/>
      <c r="Q31" s="572"/>
      <c r="R31" s="572"/>
      <c r="S31" s="572"/>
      <c r="T31" s="572"/>
      <c r="U31" s="572"/>
      <c r="V31" s="572"/>
    </row>
    <row r="32" spans="1:24" s="573" customFormat="1" ht="27" thickBot="1" x14ac:dyDescent="0.3">
      <c r="A32" s="561">
        <v>244</v>
      </c>
      <c r="B32" s="561">
        <v>225</v>
      </c>
      <c r="C32" s="561">
        <v>944</v>
      </c>
      <c r="D32" s="540" t="s">
        <v>866</v>
      </c>
      <c r="E32" s="561"/>
      <c r="F32" s="563"/>
      <c r="G32" s="545"/>
      <c r="H32" s="545">
        <f>H33</f>
        <v>250000</v>
      </c>
      <c r="I32" s="824"/>
      <c r="J32" s="575"/>
      <c r="K32" s="1349"/>
      <c r="L32" s="1343"/>
      <c r="M32" s="1382"/>
      <c r="N32" s="1382"/>
      <c r="O32" s="1392"/>
      <c r="P32" s="806"/>
      <c r="Q32" s="572"/>
      <c r="R32" s="572"/>
      <c r="S32" s="572"/>
      <c r="T32" s="572"/>
      <c r="U32" s="572"/>
      <c r="V32" s="572"/>
    </row>
    <row r="33" spans="1:22" s="573" customFormat="1" ht="13.8" thickBot="1" x14ac:dyDescent="0.3">
      <c r="A33" s="1957"/>
      <c r="B33" s="1957"/>
      <c r="C33" s="1957"/>
      <c r="D33" s="485" t="s">
        <v>906</v>
      </c>
      <c r="E33" s="1506" t="s">
        <v>718</v>
      </c>
      <c r="F33" s="565">
        <v>1</v>
      </c>
      <c r="G33" s="549">
        <f>H33/F33</f>
        <v>250000</v>
      </c>
      <c r="H33" s="549">
        <v>250000</v>
      </c>
      <c r="I33" s="796"/>
      <c r="J33" s="577"/>
      <c r="K33" s="1206" t="str">
        <f>D33</f>
        <v>Ремонт кровли</v>
      </c>
      <c r="L33" s="1341"/>
      <c r="M33" s="1397"/>
      <c r="N33" s="1381"/>
      <c r="O33" s="1368">
        <f>H33+I33-M33</f>
        <v>250000</v>
      </c>
      <c r="P33" s="1434"/>
      <c r="Q33" s="572"/>
      <c r="R33" s="572"/>
      <c r="S33" s="572"/>
      <c r="T33" s="572"/>
      <c r="U33" s="572"/>
      <c r="V33" s="572"/>
    </row>
    <row r="34" spans="1:22" s="573" customFormat="1" ht="13.8" thickBot="1" x14ac:dyDescent="0.3">
      <c r="A34" s="583">
        <v>244</v>
      </c>
      <c r="B34" s="561">
        <v>226</v>
      </c>
      <c r="C34" s="538" t="s">
        <v>724</v>
      </c>
      <c r="D34" s="893" t="s">
        <v>725</v>
      </c>
      <c r="E34" s="538"/>
      <c r="F34" s="563"/>
      <c r="G34" s="544"/>
      <c r="H34" s="545">
        <f>SUM(H35:H40)</f>
        <v>624000</v>
      </c>
      <c r="I34" s="796">
        <f>SUM(I35:I40)</f>
        <v>0</v>
      </c>
      <c r="J34" s="577"/>
      <c r="K34" s="1389"/>
      <c r="L34" s="1390"/>
      <c r="M34" s="1390"/>
      <c r="N34" s="1390"/>
      <c r="O34" s="1390"/>
      <c r="P34" s="806"/>
      <c r="Q34" s="572"/>
      <c r="R34" s="572"/>
      <c r="S34" s="572"/>
      <c r="T34" s="572"/>
      <c r="U34" s="572"/>
      <c r="V34" s="572"/>
    </row>
    <row r="35" spans="1:22" s="573" customFormat="1" ht="23.4" customHeight="1" x14ac:dyDescent="0.25">
      <c r="A35" s="587"/>
      <c r="B35" s="1230"/>
      <c r="C35" s="531"/>
      <c r="D35" s="1029" t="s">
        <v>791</v>
      </c>
      <c r="E35" s="1408" t="s">
        <v>370</v>
      </c>
      <c r="F35" s="564">
        <v>1</v>
      </c>
      <c r="G35" s="547">
        <f>H35/F35</f>
        <v>80000</v>
      </c>
      <c r="H35" s="547">
        <v>80000</v>
      </c>
      <c r="I35" s="803"/>
      <c r="J35" s="547"/>
      <c r="K35" s="1324" t="str">
        <f t="shared" ref="K35:K39" si="0">D35</f>
        <v>Гарант (Консультант плюс)</v>
      </c>
      <c r="L35" s="911"/>
      <c r="M35" s="1323"/>
      <c r="N35" s="1488"/>
      <c r="O35" s="1322">
        <f>H35-M35</f>
        <v>80000</v>
      </c>
      <c r="P35" s="572"/>
      <c r="Q35" s="572"/>
      <c r="R35" s="572"/>
      <c r="S35" s="572"/>
      <c r="T35" s="572"/>
      <c r="U35" s="572"/>
      <c r="V35" s="572"/>
    </row>
    <row r="36" spans="1:22" s="573" customFormat="1" ht="21" customHeight="1" x14ac:dyDescent="0.25">
      <c r="A36" s="587"/>
      <c r="B36" s="1230"/>
      <c r="C36" s="531"/>
      <c r="D36" s="1029" t="s">
        <v>870</v>
      </c>
      <c r="E36" s="1408" t="s">
        <v>718</v>
      </c>
      <c r="F36" s="564">
        <v>1</v>
      </c>
      <c r="G36" s="547">
        <f t="shared" ref="G36:G62" si="1">H36/F36</f>
        <v>50000</v>
      </c>
      <c r="H36" s="547">
        <v>50000</v>
      </c>
      <c r="I36" s="803"/>
      <c r="J36" s="547"/>
      <c r="K36" s="1237" t="str">
        <f t="shared" si="0"/>
        <v>Обучение</v>
      </c>
      <c r="L36" s="910"/>
      <c r="M36" s="1239"/>
      <c r="N36" s="1481"/>
      <c r="O36" s="1238">
        <f>H36-M36+I36</f>
        <v>50000</v>
      </c>
      <c r="P36" s="572"/>
      <c r="Q36" s="572"/>
      <c r="R36" s="572"/>
      <c r="S36" s="572"/>
      <c r="T36" s="572"/>
      <c r="U36" s="572"/>
      <c r="V36" s="572"/>
    </row>
    <row r="37" spans="1:22" s="573" customFormat="1" ht="21" customHeight="1" x14ac:dyDescent="0.25">
      <c r="A37" s="587"/>
      <c r="B37" s="1230"/>
      <c r="C37" s="531"/>
      <c r="D37" s="1029" t="s">
        <v>766</v>
      </c>
      <c r="E37" s="1408" t="s">
        <v>370</v>
      </c>
      <c r="F37" s="564">
        <v>1</v>
      </c>
      <c r="G37" s="547">
        <f t="shared" si="1"/>
        <v>2000</v>
      </c>
      <c r="H37" s="547">
        <v>2000</v>
      </c>
      <c r="I37" s="803"/>
      <c r="J37" s="547"/>
      <c r="K37" s="1237" t="str">
        <f t="shared" si="0"/>
        <v>Периодические издания, справочная литература</v>
      </c>
      <c r="L37" s="910"/>
      <c r="M37" s="1239"/>
      <c r="N37" s="1481"/>
      <c r="O37" s="1238">
        <f>H37-M37</f>
        <v>2000</v>
      </c>
      <c r="P37" s="572"/>
      <c r="Q37" s="572"/>
      <c r="R37" s="572"/>
      <c r="S37" s="572"/>
      <c r="T37" s="572"/>
      <c r="U37" s="572"/>
      <c r="V37" s="572"/>
    </row>
    <row r="38" spans="1:22" s="573" customFormat="1" ht="21" customHeight="1" x14ac:dyDescent="0.25">
      <c r="A38" s="587"/>
      <c r="B38" s="1230"/>
      <c r="C38" s="531"/>
      <c r="D38" s="1029" t="s">
        <v>878</v>
      </c>
      <c r="E38" s="1408" t="s">
        <v>370</v>
      </c>
      <c r="F38" s="564">
        <v>1</v>
      </c>
      <c r="G38" s="547">
        <f t="shared" ref="G38:G40" si="2">H38/F38</f>
        <v>15000</v>
      </c>
      <c r="H38" s="547">
        <v>15000</v>
      </c>
      <c r="I38" s="803"/>
      <c r="J38" s="547"/>
      <c r="K38" s="1237" t="str">
        <f t="shared" si="0"/>
        <v>Проведение лабораторных исследований</v>
      </c>
      <c r="L38" s="910"/>
      <c r="M38" s="1239"/>
      <c r="N38" s="1481"/>
      <c r="O38" s="1238">
        <f>H38+I38-M38</f>
        <v>15000</v>
      </c>
      <c r="P38" s="572"/>
      <c r="Q38" s="572"/>
      <c r="R38" s="572"/>
      <c r="S38" s="572"/>
      <c r="T38" s="572"/>
      <c r="U38" s="572"/>
      <c r="V38" s="572"/>
    </row>
    <row r="39" spans="1:22" s="573" customFormat="1" ht="21" customHeight="1" thickBot="1" x14ac:dyDescent="0.3">
      <c r="A39" s="587"/>
      <c r="B39" s="1230"/>
      <c r="C39" s="531"/>
      <c r="D39" s="1029" t="s">
        <v>852</v>
      </c>
      <c r="E39" s="1408" t="s">
        <v>718</v>
      </c>
      <c r="F39" s="564">
        <v>1</v>
      </c>
      <c r="G39" s="547">
        <f t="shared" si="2"/>
        <v>100000</v>
      </c>
      <c r="H39" s="547">
        <v>100000</v>
      </c>
      <c r="I39" s="803"/>
      <c r="J39" s="547"/>
      <c r="K39" s="1476" t="str">
        <f t="shared" si="0"/>
        <v>Расходы на праздничные программы</v>
      </c>
      <c r="L39" s="912"/>
      <c r="M39" s="1472"/>
      <c r="N39" s="1482"/>
      <c r="O39" s="1473">
        <f>H39-M39</f>
        <v>100000</v>
      </c>
      <c r="P39" s="572"/>
      <c r="Q39" s="572"/>
      <c r="R39" s="572"/>
      <c r="S39" s="572"/>
      <c r="T39" s="572"/>
      <c r="U39" s="572"/>
      <c r="V39" s="572"/>
    </row>
    <row r="40" spans="1:22" s="573" customFormat="1" ht="21" customHeight="1" x14ac:dyDescent="0.25">
      <c r="A40" s="587"/>
      <c r="B40" s="1249"/>
      <c r="C40" s="531"/>
      <c r="D40" s="1030" t="s">
        <v>855</v>
      </c>
      <c r="E40" s="1409" t="s">
        <v>718</v>
      </c>
      <c r="F40" s="565">
        <v>1</v>
      </c>
      <c r="G40" s="547">
        <f t="shared" si="2"/>
        <v>377000</v>
      </c>
      <c r="H40" s="549">
        <v>377000</v>
      </c>
      <c r="I40" s="803"/>
      <c r="J40" s="547"/>
      <c r="K40" s="1497"/>
      <c r="L40" s="1276"/>
      <c r="M40" s="1367"/>
      <c r="N40" s="1367"/>
      <c r="O40" s="1367"/>
      <c r="P40" s="572"/>
      <c r="Q40" s="572"/>
      <c r="R40" s="572"/>
      <c r="S40" s="572"/>
      <c r="T40" s="572"/>
      <c r="U40" s="572"/>
      <c r="V40" s="572"/>
    </row>
    <row r="41" spans="1:22" s="573" customFormat="1" ht="13.8" thickBot="1" x14ac:dyDescent="0.3">
      <c r="A41" s="583"/>
      <c r="B41" s="561"/>
      <c r="C41" s="538">
        <v>955</v>
      </c>
      <c r="D41" s="893" t="s">
        <v>748</v>
      </c>
      <c r="E41" s="538"/>
      <c r="F41" s="563"/>
      <c r="G41" s="544"/>
      <c r="H41" s="545">
        <f>SUM(H42:H43)</f>
        <v>623000</v>
      </c>
      <c r="I41" s="796">
        <f>SUM(I42:I43)</f>
        <v>0</v>
      </c>
      <c r="J41" s="545"/>
      <c r="K41" s="1498"/>
      <c r="L41" s="1496"/>
      <c r="M41" s="1496"/>
      <c r="N41" s="1496"/>
      <c r="O41" s="1496"/>
      <c r="P41" s="1391"/>
      <c r="Q41" s="572"/>
      <c r="R41" s="572"/>
      <c r="S41" s="572"/>
      <c r="T41" s="572"/>
      <c r="U41" s="572"/>
      <c r="V41" s="572"/>
    </row>
    <row r="42" spans="1:22" s="573" customFormat="1" ht="16.5" customHeight="1" x14ac:dyDescent="0.25">
      <c r="A42" s="587">
        <v>244</v>
      </c>
      <c r="B42" s="1230">
        <v>225</v>
      </c>
      <c r="C42" s="531">
        <v>955</v>
      </c>
      <c r="D42" s="1029" t="s">
        <v>771</v>
      </c>
      <c r="E42" s="896" t="s">
        <v>370</v>
      </c>
      <c r="F42" s="803">
        <v>1</v>
      </c>
      <c r="G42" s="547">
        <f t="shared" si="1"/>
        <v>148700</v>
      </c>
      <c r="H42" s="803">
        <v>148700</v>
      </c>
      <c r="I42" s="803"/>
      <c r="J42" s="547"/>
      <c r="K42" s="1324" t="str">
        <f>D42</f>
        <v>Косметический ремонт помещений</v>
      </c>
      <c r="L42" s="880"/>
      <c r="M42" s="1323"/>
      <c r="N42" s="1488"/>
      <c r="O42" s="1322">
        <f>H42+I42-M42</f>
        <v>148700</v>
      </c>
      <c r="P42" s="1259"/>
      <c r="Q42" s="572"/>
      <c r="R42" s="572"/>
      <c r="S42" s="572"/>
      <c r="T42" s="572"/>
      <c r="U42" s="572"/>
      <c r="V42" s="572"/>
    </row>
    <row r="43" spans="1:22" s="573" customFormat="1" ht="27" thickBot="1" x14ac:dyDescent="0.3">
      <c r="A43" s="587">
        <v>244</v>
      </c>
      <c r="B43" s="1230">
        <v>226</v>
      </c>
      <c r="C43" s="531">
        <v>955</v>
      </c>
      <c r="D43" s="1029" t="s">
        <v>833</v>
      </c>
      <c r="E43" s="896" t="s">
        <v>370</v>
      </c>
      <c r="F43" s="803">
        <v>2</v>
      </c>
      <c r="G43" s="547">
        <f t="shared" si="1"/>
        <v>237150</v>
      </c>
      <c r="H43" s="803">
        <f>474292+8</f>
        <v>474300</v>
      </c>
      <c r="I43" s="803"/>
      <c r="J43" s="549"/>
      <c r="K43" s="1507" t="str">
        <f>D43</f>
        <v>Договор ГПХ с педагогическим персоналом</v>
      </c>
      <c r="L43" s="912"/>
      <c r="M43" s="1227"/>
      <c r="N43" s="1482"/>
      <c r="O43" s="1228">
        <f>H43+I43-M43</f>
        <v>474300</v>
      </c>
      <c r="P43" s="1259"/>
      <c r="Q43" s="572"/>
      <c r="R43" s="572"/>
      <c r="S43" s="572"/>
      <c r="T43" s="572"/>
      <c r="U43" s="572"/>
      <c r="V43" s="572"/>
    </row>
    <row r="44" spans="1:22" s="573" customFormat="1" ht="39.75" customHeight="1" x14ac:dyDescent="0.25">
      <c r="A44" s="583">
        <v>244</v>
      </c>
      <c r="B44" s="561">
        <v>340</v>
      </c>
      <c r="C44" s="538" t="s">
        <v>726</v>
      </c>
      <c r="D44" s="893" t="s">
        <v>727</v>
      </c>
      <c r="E44" s="1031"/>
      <c r="F44" s="571"/>
      <c r="G44" s="545"/>
      <c r="H44" s="545">
        <f>SUM(H45:H46)</f>
        <v>480000</v>
      </c>
      <c r="I44" s="796">
        <f>SUM(I45:I46)</f>
        <v>0</v>
      </c>
      <c r="J44" s="577"/>
      <c r="K44" s="1390"/>
      <c r="L44" s="1390"/>
      <c r="M44" s="1390"/>
      <c r="N44" s="1390"/>
      <c r="O44" s="1390"/>
      <c r="P44" s="806"/>
      <c r="Q44" s="572"/>
      <c r="R44" s="572"/>
      <c r="S44" s="572"/>
      <c r="T44" s="572"/>
      <c r="U44" s="572"/>
      <c r="V44" s="572"/>
    </row>
    <row r="45" spans="1:22" s="573" customFormat="1" ht="23.25" customHeight="1" thickBot="1" x14ac:dyDescent="0.3">
      <c r="A45" s="587"/>
      <c r="B45" s="1230"/>
      <c r="C45" s="531"/>
      <c r="D45" s="1013" t="s">
        <v>855</v>
      </c>
      <c r="E45" s="531" t="s">
        <v>718</v>
      </c>
      <c r="F45" s="564">
        <v>1</v>
      </c>
      <c r="G45" s="547">
        <f t="shared" si="1"/>
        <v>20000</v>
      </c>
      <c r="H45" s="803">
        <v>20000</v>
      </c>
      <c r="I45" s="803"/>
      <c r="J45" s="547"/>
      <c r="K45" s="1495"/>
      <c r="L45" s="895"/>
      <c r="M45" s="1478"/>
      <c r="N45" s="1494"/>
      <c r="O45" s="1477"/>
      <c r="P45" s="806"/>
      <c r="Q45" s="572"/>
      <c r="R45" s="572"/>
      <c r="S45" s="572"/>
      <c r="T45" s="572"/>
      <c r="U45" s="572"/>
      <c r="V45" s="572"/>
    </row>
    <row r="46" spans="1:22" s="573" customFormat="1" ht="37.950000000000003" customHeight="1" thickBot="1" x14ac:dyDescent="0.3">
      <c r="A46" s="586"/>
      <c r="B46" s="1231"/>
      <c r="C46" s="534"/>
      <c r="D46" s="1017" t="s">
        <v>852</v>
      </c>
      <c r="E46" s="1020" t="s">
        <v>718</v>
      </c>
      <c r="F46" s="574">
        <v>1</v>
      </c>
      <c r="G46" s="547">
        <f t="shared" si="1"/>
        <v>460000</v>
      </c>
      <c r="H46" s="804">
        <v>460000</v>
      </c>
      <c r="I46" s="804"/>
      <c r="J46" s="547"/>
      <c r="K46" s="1206" t="str">
        <f>D46</f>
        <v>Расходы на праздничные программы</v>
      </c>
      <c r="L46" s="1341"/>
      <c r="M46" s="1369"/>
      <c r="N46" s="1490"/>
      <c r="O46" s="1368">
        <f>H46-M46</f>
        <v>460000</v>
      </c>
      <c r="P46" s="572"/>
      <c r="Q46" s="572"/>
      <c r="R46" s="572"/>
      <c r="S46" s="572"/>
      <c r="T46" s="572"/>
      <c r="U46" s="572"/>
      <c r="V46" s="572"/>
    </row>
    <row r="47" spans="1:22" s="573" customFormat="1" ht="12" customHeight="1" thickBot="1" x14ac:dyDescent="0.3">
      <c r="A47" s="1243">
        <v>244</v>
      </c>
      <c r="B47" s="1243">
        <v>310</v>
      </c>
      <c r="C47" s="1243">
        <v>971</v>
      </c>
      <c r="D47" s="893" t="s">
        <v>747</v>
      </c>
      <c r="E47" s="1229"/>
      <c r="F47" s="1024"/>
      <c r="G47" s="585"/>
      <c r="H47" s="545">
        <f>SUM(H48:H50)</f>
        <v>798300</v>
      </c>
      <c r="I47" s="796">
        <f>SUM(I48:I50)</f>
        <v>0</v>
      </c>
      <c r="J47" s="577"/>
      <c r="K47" s="1816"/>
      <c r="L47" s="1816"/>
      <c r="M47" s="1816"/>
      <c r="N47" s="1817"/>
      <c r="O47" s="1817"/>
      <c r="P47" s="806"/>
      <c r="Q47" s="572"/>
      <c r="R47" s="572"/>
      <c r="S47" s="572"/>
      <c r="T47" s="572"/>
      <c r="U47" s="572"/>
      <c r="V47" s="572"/>
    </row>
    <row r="48" spans="1:22" s="573" customFormat="1" ht="24.75" customHeight="1" x14ac:dyDescent="0.25">
      <c r="A48" s="790"/>
      <c r="B48" s="790"/>
      <c r="C48" s="790"/>
      <c r="D48" s="1435" t="s">
        <v>907</v>
      </c>
      <c r="E48" s="1436" t="s">
        <v>769</v>
      </c>
      <c r="F48" s="1437">
        <v>12</v>
      </c>
      <c r="G48" s="547">
        <f t="shared" si="1"/>
        <v>35575</v>
      </c>
      <c r="H48" s="547">
        <v>426900</v>
      </c>
      <c r="I48" s="803"/>
      <c r="J48" s="547"/>
      <c r="K48" s="1023" t="str">
        <f t="shared" ref="K48:K50" si="3">D48</f>
        <v>Модульная мебель для кабинетов педагогов:</v>
      </c>
      <c r="L48" s="880"/>
      <c r="M48" s="1318"/>
      <c r="N48" s="1480"/>
      <c r="O48" s="1321">
        <f>H48+I48-M48</f>
        <v>426900</v>
      </c>
      <c r="P48" s="572"/>
      <c r="Q48" s="572"/>
      <c r="R48" s="572"/>
      <c r="S48" s="572"/>
      <c r="T48" s="572"/>
      <c r="U48" s="572"/>
      <c r="V48" s="572"/>
    </row>
    <row r="49" spans="1:22" s="573" customFormat="1" ht="31.5" customHeight="1" x14ac:dyDescent="0.25">
      <c r="A49" s="790"/>
      <c r="B49" s="790"/>
      <c r="C49" s="790"/>
      <c r="D49" s="1435" t="s">
        <v>793</v>
      </c>
      <c r="E49" s="1436" t="s">
        <v>181</v>
      </c>
      <c r="F49" s="1437">
        <v>4</v>
      </c>
      <c r="G49" s="547">
        <f t="shared" si="1"/>
        <v>72100</v>
      </c>
      <c r="H49" s="1428">
        <v>288400</v>
      </c>
      <c r="I49" s="803"/>
      <c r="J49" s="547"/>
      <c r="K49" s="1260" t="str">
        <f t="shared" si="3"/>
        <v>Оргтехника</v>
      </c>
      <c r="L49" s="910"/>
      <c r="M49" s="1262"/>
      <c r="N49" s="1481"/>
      <c r="O49" s="1261">
        <f>H49+I49-M49</f>
        <v>288400</v>
      </c>
      <c r="P49" s="572"/>
      <c r="Q49" s="572"/>
      <c r="R49" s="572"/>
      <c r="S49" s="572"/>
      <c r="T49" s="572"/>
      <c r="U49" s="572"/>
      <c r="V49" s="572"/>
    </row>
    <row r="50" spans="1:22" s="573" customFormat="1" ht="16.5" customHeight="1" thickBot="1" x14ac:dyDescent="0.3">
      <c r="A50" s="790"/>
      <c r="B50" s="790"/>
      <c r="C50" s="790"/>
      <c r="D50" s="1438" t="s">
        <v>876</v>
      </c>
      <c r="E50" s="1436" t="s">
        <v>181</v>
      </c>
      <c r="F50" s="1437">
        <v>20</v>
      </c>
      <c r="G50" s="547">
        <f t="shared" si="1"/>
        <v>4150</v>
      </c>
      <c r="H50" s="1428">
        <v>83000</v>
      </c>
      <c r="I50" s="803"/>
      <c r="J50" s="547"/>
      <c r="K50" s="1260" t="str">
        <f t="shared" si="3"/>
        <v>Мольберт</v>
      </c>
      <c r="L50" s="910"/>
      <c r="M50" s="1262"/>
      <c r="N50" s="1481"/>
      <c r="O50" s="1261">
        <f>H50-M50</f>
        <v>83000</v>
      </c>
      <c r="P50" s="572"/>
      <c r="Q50" s="572"/>
      <c r="R50" s="572"/>
      <c r="S50" s="572"/>
      <c r="T50" s="572"/>
      <c r="U50" s="572"/>
      <c r="V50" s="572"/>
    </row>
    <row r="51" spans="1:22" s="573" customFormat="1" ht="53.25" customHeight="1" thickBot="1" x14ac:dyDescent="0.3">
      <c r="A51" s="583">
        <v>244</v>
      </c>
      <c r="B51" s="561">
        <v>340</v>
      </c>
      <c r="C51" s="538" t="s">
        <v>729</v>
      </c>
      <c r="D51" s="1039" t="s">
        <v>846</v>
      </c>
      <c r="E51" s="1119"/>
      <c r="F51" s="580"/>
      <c r="G51" s="1040"/>
      <c r="H51" s="545">
        <f>SUM(H52:H62)</f>
        <v>1214500</v>
      </c>
      <c r="I51" s="796">
        <f>SUM(I52:I62)</f>
        <v>0</v>
      </c>
      <c r="J51" s="545"/>
      <c r="K51" s="1393"/>
      <c r="L51" s="1382"/>
      <c r="M51" s="1394"/>
      <c r="N51" s="1394"/>
      <c r="O51" s="1382"/>
      <c r="P51" s="806"/>
      <c r="Q51" s="572"/>
      <c r="R51" s="572"/>
      <c r="S51" s="572"/>
      <c r="T51" s="572"/>
      <c r="U51" s="572"/>
      <c r="V51" s="572"/>
    </row>
    <row r="52" spans="1:22" s="573" customFormat="1" ht="18.75" customHeight="1" x14ac:dyDescent="0.25">
      <c r="A52" s="587"/>
      <c r="B52" s="1120"/>
      <c r="C52" s="531"/>
      <c r="D52" s="1407" t="s">
        <v>794</v>
      </c>
      <c r="E52" s="1120" t="s">
        <v>718</v>
      </c>
      <c r="F52" s="564">
        <v>1</v>
      </c>
      <c r="G52" s="547">
        <f t="shared" si="1"/>
        <v>27000</v>
      </c>
      <c r="H52" s="1025">
        <v>27000</v>
      </c>
      <c r="I52" s="803"/>
      <c r="J52" s="547"/>
      <c r="K52" s="1800" t="str">
        <f>D51</f>
        <v>Приобретение (изготовление) расходных материалов (за исключением материалов предусмотренных для целей капитальных вложений, продуктов питания, ГСМ)</v>
      </c>
      <c r="L52" s="1826"/>
      <c r="M52" s="1829"/>
      <c r="N52" s="1489"/>
      <c r="O52" s="1832">
        <f>H51+I51+J51-M52</f>
        <v>1214500</v>
      </c>
      <c r="P52" s="572"/>
      <c r="Q52" s="572"/>
      <c r="R52" s="572"/>
      <c r="S52" s="572"/>
      <c r="T52" s="572"/>
      <c r="U52" s="572"/>
      <c r="V52" s="572"/>
    </row>
    <row r="53" spans="1:22" s="573" customFormat="1" ht="18.75" customHeight="1" x14ac:dyDescent="0.25">
      <c r="A53" s="1120"/>
      <c r="B53" s="1120"/>
      <c r="C53" s="1410"/>
      <c r="D53" s="1022" t="s">
        <v>795</v>
      </c>
      <c r="E53" s="1120" t="s">
        <v>718</v>
      </c>
      <c r="F53" s="564">
        <v>1</v>
      </c>
      <c r="G53" s="547">
        <f t="shared" si="1"/>
        <v>142500</v>
      </c>
      <c r="H53" s="1025">
        <v>142500</v>
      </c>
      <c r="I53" s="803"/>
      <c r="J53" s="547"/>
      <c r="K53" s="1801"/>
      <c r="L53" s="1827"/>
      <c r="M53" s="1830"/>
      <c r="N53" s="1490"/>
      <c r="O53" s="1833"/>
      <c r="P53" s="572"/>
      <c r="Q53" s="572"/>
      <c r="R53" s="572"/>
      <c r="S53" s="572"/>
      <c r="T53" s="572"/>
      <c r="U53" s="572"/>
      <c r="V53" s="572"/>
    </row>
    <row r="54" spans="1:22" s="573" customFormat="1" ht="18.75" customHeight="1" x14ac:dyDescent="0.25">
      <c r="A54" s="1213"/>
      <c r="B54" s="1213"/>
      <c r="C54" s="1410"/>
      <c r="D54" s="1022" t="s">
        <v>862</v>
      </c>
      <c r="E54" s="1213" t="s">
        <v>718</v>
      </c>
      <c r="F54" s="564">
        <v>1</v>
      </c>
      <c r="G54" s="547">
        <f t="shared" si="1"/>
        <v>95600</v>
      </c>
      <c r="H54" s="1025">
        <v>95600</v>
      </c>
      <c r="I54" s="803"/>
      <c r="J54" s="547"/>
      <c r="K54" s="1801"/>
      <c r="L54" s="1827"/>
      <c r="M54" s="1830"/>
      <c r="N54" s="1490"/>
      <c r="O54" s="1833"/>
      <c r="P54" s="572"/>
      <c r="Q54" s="572"/>
      <c r="R54" s="572"/>
      <c r="S54" s="805"/>
      <c r="T54" s="572"/>
      <c r="U54" s="572"/>
      <c r="V54" s="572"/>
    </row>
    <row r="55" spans="1:22" s="573" customFormat="1" ht="18.75" customHeight="1" x14ac:dyDescent="0.25">
      <c r="A55" s="1217"/>
      <c r="B55" s="1217"/>
      <c r="C55" s="1410"/>
      <c r="D55" s="1022" t="s">
        <v>863</v>
      </c>
      <c r="E55" s="1217" t="s">
        <v>718</v>
      </c>
      <c r="F55" s="564">
        <v>1</v>
      </c>
      <c r="G55" s="547">
        <f t="shared" si="1"/>
        <v>144800</v>
      </c>
      <c r="H55" s="1025">
        <v>144800</v>
      </c>
      <c r="I55" s="803"/>
      <c r="J55" s="547"/>
      <c r="K55" s="1801"/>
      <c r="L55" s="1827"/>
      <c r="M55" s="1830"/>
      <c r="N55" s="1490"/>
      <c r="O55" s="1833"/>
      <c r="P55" s="572"/>
      <c r="Q55" s="572"/>
      <c r="R55" s="572"/>
      <c r="S55" s="572"/>
      <c r="T55" s="572"/>
      <c r="U55" s="572"/>
      <c r="V55" s="572"/>
    </row>
    <row r="56" spans="1:22" s="573" customFormat="1" ht="18.75" customHeight="1" x14ac:dyDescent="0.25">
      <c r="A56" s="1217"/>
      <c r="B56" s="1217"/>
      <c r="C56" s="1410"/>
      <c r="D56" s="1022" t="s">
        <v>796</v>
      </c>
      <c r="E56" s="1217" t="s">
        <v>718</v>
      </c>
      <c r="F56" s="564">
        <v>1</v>
      </c>
      <c r="G56" s="547">
        <f t="shared" si="1"/>
        <v>2700</v>
      </c>
      <c r="H56" s="1025">
        <v>2700</v>
      </c>
      <c r="I56" s="803"/>
      <c r="J56" s="547"/>
      <c r="K56" s="1801"/>
      <c r="L56" s="1827"/>
      <c r="M56" s="1830"/>
      <c r="N56" s="1490"/>
      <c r="O56" s="1833"/>
      <c r="P56" s="572"/>
      <c r="Q56" s="572"/>
      <c r="R56" s="572"/>
      <c r="S56" s="572"/>
      <c r="T56" s="572"/>
      <c r="U56" s="572"/>
      <c r="V56" s="572"/>
    </row>
    <row r="57" spans="1:22" s="573" customFormat="1" ht="18.75" customHeight="1" x14ac:dyDescent="0.25">
      <c r="A57" s="1219"/>
      <c r="B57" s="1219"/>
      <c r="C57" s="1410"/>
      <c r="D57" s="1022" t="s">
        <v>797</v>
      </c>
      <c r="E57" s="1219" t="s">
        <v>718</v>
      </c>
      <c r="F57" s="564">
        <v>1</v>
      </c>
      <c r="G57" s="547">
        <f t="shared" si="1"/>
        <v>103800</v>
      </c>
      <c r="H57" s="1025">
        <v>103800</v>
      </c>
      <c r="I57" s="803"/>
      <c r="J57" s="547"/>
      <c r="K57" s="1801"/>
      <c r="L57" s="1827"/>
      <c r="M57" s="1830"/>
      <c r="N57" s="1490"/>
      <c r="O57" s="1833"/>
      <c r="P57" s="572"/>
      <c r="Q57" s="572"/>
      <c r="R57" s="572"/>
      <c r="S57" s="572"/>
      <c r="T57" s="572"/>
      <c r="U57" s="572"/>
      <c r="V57" s="572"/>
    </row>
    <row r="58" spans="1:22" s="573" customFormat="1" ht="18.600000000000001" customHeight="1" x14ac:dyDescent="0.25">
      <c r="A58" s="1217"/>
      <c r="B58" s="1217"/>
      <c r="C58" s="1410"/>
      <c r="D58" s="1022" t="s">
        <v>798</v>
      </c>
      <c r="E58" s="1217" t="s">
        <v>718</v>
      </c>
      <c r="F58" s="564">
        <v>1</v>
      </c>
      <c r="G58" s="547">
        <f t="shared" si="1"/>
        <v>35800</v>
      </c>
      <c r="H58" s="1025">
        <v>35800</v>
      </c>
      <c r="I58" s="803"/>
      <c r="J58" s="547"/>
      <c r="K58" s="1801"/>
      <c r="L58" s="1827"/>
      <c r="M58" s="1830"/>
      <c r="N58" s="1490"/>
      <c r="O58" s="1833"/>
      <c r="P58" s="572"/>
      <c r="Q58" s="572"/>
      <c r="R58" s="572"/>
      <c r="S58" s="572"/>
      <c r="T58" s="572"/>
      <c r="U58" s="572"/>
      <c r="V58" s="572"/>
    </row>
    <row r="59" spans="1:22" s="573" customFormat="1" ht="18.600000000000001" customHeight="1" x14ac:dyDescent="0.25">
      <c r="A59" s="1217"/>
      <c r="B59" s="1217"/>
      <c r="C59" s="1410"/>
      <c r="D59" s="1022" t="s">
        <v>852</v>
      </c>
      <c r="E59" s="1217" t="s">
        <v>718</v>
      </c>
      <c r="F59" s="564">
        <v>1</v>
      </c>
      <c r="G59" s="547">
        <f t="shared" si="1"/>
        <v>201300</v>
      </c>
      <c r="H59" s="1025">
        <f>80000+9000+112300</f>
        <v>201300</v>
      </c>
      <c r="I59" s="803"/>
      <c r="J59" s="547"/>
      <c r="K59" s="1801"/>
      <c r="L59" s="1827"/>
      <c r="M59" s="1830"/>
      <c r="N59" s="1490"/>
      <c r="O59" s="1833"/>
      <c r="P59" s="572"/>
      <c r="Q59" s="572"/>
      <c r="R59" s="572"/>
      <c r="S59" s="572"/>
      <c r="T59" s="572"/>
      <c r="U59" s="572"/>
      <c r="V59" s="572"/>
    </row>
    <row r="60" spans="1:22" s="573" customFormat="1" ht="26.4" customHeight="1" x14ac:dyDescent="0.25">
      <c r="A60" s="1217"/>
      <c r="B60" s="1217"/>
      <c r="C60" s="1410"/>
      <c r="D60" s="1022" t="s">
        <v>668</v>
      </c>
      <c r="E60" s="531" t="s">
        <v>718</v>
      </c>
      <c r="F60" s="564">
        <v>1</v>
      </c>
      <c r="G60" s="547">
        <f t="shared" si="1"/>
        <v>111000</v>
      </c>
      <c r="H60" s="1025">
        <f>120000-9000</f>
        <v>111000</v>
      </c>
      <c r="I60" s="803"/>
      <c r="J60" s="547"/>
      <c r="K60" s="1801"/>
      <c r="L60" s="1827"/>
      <c r="M60" s="1830"/>
      <c r="N60" s="1490"/>
      <c r="O60" s="1833"/>
      <c r="P60" s="572"/>
      <c r="Q60" s="572"/>
      <c r="R60" s="572"/>
      <c r="S60" s="572"/>
      <c r="T60" s="572"/>
      <c r="U60" s="572"/>
      <c r="V60" s="572"/>
    </row>
    <row r="61" spans="1:22" s="573" customFormat="1" ht="24.6" customHeight="1" x14ac:dyDescent="0.25">
      <c r="A61" s="587"/>
      <c r="B61" s="1217"/>
      <c r="C61" s="531"/>
      <c r="D61" s="554" t="s">
        <v>857</v>
      </c>
      <c r="E61" s="1217" t="s">
        <v>718</v>
      </c>
      <c r="F61" s="564">
        <v>1</v>
      </c>
      <c r="G61" s="547">
        <f t="shared" si="1"/>
        <v>150000</v>
      </c>
      <c r="H61" s="1025">
        <v>150000</v>
      </c>
      <c r="I61" s="803"/>
      <c r="J61" s="547"/>
      <c r="K61" s="1801"/>
      <c r="L61" s="1827"/>
      <c r="M61" s="1830"/>
      <c r="N61" s="1490"/>
      <c r="O61" s="1833"/>
      <c r="P61" s="572"/>
      <c r="Q61" s="572"/>
      <c r="R61" s="572"/>
      <c r="S61" s="572"/>
      <c r="T61" s="572"/>
      <c r="U61" s="572"/>
      <c r="V61" s="572"/>
    </row>
    <row r="62" spans="1:22" s="573" customFormat="1" ht="18.600000000000001" customHeight="1" thickBot="1" x14ac:dyDescent="0.3">
      <c r="A62" s="586"/>
      <c r="B62" s="1218"/>
      <c r="C62" s="534"/>
      <c r="D62" s="485" t="s">
        <v>858</v>
      </c>
      <c r="E62" s="1218" t="s">
        <v>718</v>
      </c>
      <c r="F62" s="565">
        <v>1</v>
      </c>
      <c r="G62" s="547">
        <f t="shared" si="1"/>
        <v>200000</v>
      </c>
      <c r="H62" s="1025">
        <v>200000</v>
      </c>
      <c r="I62" s="804"/>
      <c r="J62" s="549"/>
      <c r="K62" s="1802"/>
      <c r="L62" s="1828"/>
      <c r="M62" s="1831"/>
      <c r="N62" s="1483"/>
      <c r="O62" s="1834"/>
      <c r="P62" s="572"/>
      <c r="Q62" s="572"/>
      <c r="R62" s="572"/>
      <c r="S62" s="572"/>
      <c r="T62" s="572"/>
      <c r="U62" s="572"/>
      <c r="V62" s="572"/>
    </row>
    <row r="63" spans="1:22" s="573" customFormat="1" ht="34.5" customHeight="1" x14ac:dyDescent="0.25">
      <c r="A63" s="1821" t="s">
        <v>706</v>
      </c>
      <c r="B63" s="1822"/>
      <c r="C63" s="1822"/>
      <c r="D63" s="1822"/>
      <c r="E63" s="1823"/>
      <c r="F63" s="740"/>
      <c r="G63" s="740"/>
      <c r="H63" s="740">
        <f>H64+H66+H68</f>
        <v>135000</v>
      </c>
      <c r="I63" s="1154">
        <f>I64+I66+I68</f>
        <v>0</v>
      </c>
      <c r="J63" s="1154">
        <f>J64+J66+J68</f>
        <v>0</v>
      </c>
      <c r="K63" s="1818"/>
      <c r="L63" s="1818"/>
      <c r="M63" s="1818"/>
      <c r="N63" s="1818"/>
      <c r="O63" s="1818"/>
      <c r="P63" s="572"/>
      <c r="Q63" s="572"/>
      <c r="R63" s="572"/>
      <c r="S63" s="572"/>
      <c r="T63" s="572"/>
      <c r="U63" s="572"/>
      <c r="V63" s="572"/>
    </row>
    <row r="64" spans="1:22" s="573" customFormat="1" ht="41.25" customHeight="1" thickBot="1" x14ac:dyDescent="0.3">
      <c r="A64" s="1147">
        <v>247</v>
      </c>
      <c r="B64" s="1148">
        <v>223</v>
      </c>
      <c r="C64" s="1147">
        <v>931</v>
      </c>
      <c r="D64" s="992" t="s">
        <v>707</v>
      </c>
      <c r="E64" s="561"/>
      <c r="F64" s="571"/>
      <c r="G64" s="545"/>
      <c r="H64" s="545">
        <f>SUM(H65:H65)</f>
        <v>20000</v>
      </c>
      <c r="I64" s="796">
        <f>SUM(I65:I65)</f>
        <v>0</v>
      </c>
      <c r="J64" s="545"/>
      <c r="K64" s="1395"/>
      <c r="L64" s="1396"/>
      <c r="M64" s="1397"/>
      <c r="N64" s="1397"/>
      <c r="O64" s="1397"/>
      <c r="P64" s="806"/>
      <c r="Q64" s="572"/>
      <c r="R64" s="572"/>
      <c r="S64" s="572"/>
      <c r="T64" s="572"/>
      <c r="U64" s="572"/>
      <c r="V64" s="572"/>
    </row>
    <row r="65" spans="1:22" s="573" customFormat="1" ht="13.8" thickBot="1" x14ac:dyDescent="0.3">
      <c r="A65" s="535"/>
      <c r="B65" s="530"/>
      <c r="C65" s="535"/>
      <c r="D65" s="1149" t="s">
        <v>373</v>
      </c>
      <c r="E65" s="1219" t="s">
        <v>371</v>
      </c>
      <c r="F65" s="578">
        <v>11.94</v>
      </c>
      <c r="G65" s="547">
        <v>1675.54</v>
      </c>
      <c r="H65" s="547">
        <v>20000</v>
      </c>
      <c r="I65" s="803"/>
      <c r="J65" s="549"/>
      <c r="K65" s="1333" t="str">
        <f>D65</f>
        <v>Отопление</v>
      </c>
      <c r="L65" s="1303"/>
      <c r="M65" s="1215"/>
      <c r="N65" s="1491"/>
      <c r="O65" s="1316">
        <f>H65+I65-M65</f>
        <v>20000</v>
      </c>
      <c r="P65" s="572"/>
      <c r="Q65" s="572"/>
      <c r="R65" s="572"/>
      <c r="S65" s="572"/>
      <c r="T65" s="572"/>
      <c r="U65" s="572"/>
      <c r="V65" s="572"/>
    </row>
    <row r="66" spans="1:22" s="573" customFormat="1" ht="25.2" customHeight="1" thickBot="1" x14ac:dyDescent="0.3">
      <c r="A66" s="1221">
        <v>247</v>
      </c>
      <c r="B66" s="1221">
        <v>223</v>
      </c>
      <c r="C66" s="1221">
        <v>932</v>
      </c>
      <c r="D66" s="992" t="s">
        <v>708</v>
      </c>
      <c r="E66" s="561"/>
      <c r="F66" s="571"/>
      <c r="G66" s="796"/>
      <c r="H66" s="545">
        <f>H67</f>
        <v>15000</v>
      </c>
      <c r="I66" s="544">
        <f>I67</f>
        <v>0</v>
      </c>
      <c r="J66" s="577"/>
      <c r="K66" s="1346"/>
      <c r="L66" s="1343"/>
      <c r="M66" s="1400"/>
      <c r="N66" s="1382"/>
      <c r="O66" s="1392"/>
      <c r="P66" s="806"/>
      <c r="Q66" s="572"/>
      <c r="R66" s="572"/>
      <c r="S66" s="572"/>
      <c r="T66" s="572"/>
      <c r="U66" s="572"/>
      <c r="V66" s="572"/>
    </row>
    <row r="67" spans="1:22" s="573" customFormat="1" ht="25.2" customHeight="1" thickBot="1" x14ac:dyDescent="0.3">
      <c r="A67" s="536"/>
      <c r="B67" s="536"/>
      <c r="C67" s="536"/>
      <c r="D67" s="1149" t="s">
        <v>868</v>
      </c>
      <c r="E67" s="1220" t="s">
        <v>709</v>
      </c>
      <c r="F67" s="774">
        <v>3311.26</v>
      </c>
      <c r="G67" s="804">
        <f>H67/F67</f>
        <v>4.53</v>
      </c>
      <c r="H67" s="549">
        <v>15000</v>
      </c>
      <c r="I67" s="546"/>
      <c r="J67" s="547"/>
      <c r="K67" s="1338" t="str">
        <f>D67</f>
        <v>Э/энергия</v>
      </c>
      <c r="L67" s="913"/>
      <c r="M67" s="1381"/>
      <c r="N67" s="1491"/>
      <c r="O67" s="1316">
        <f>H67+I67-M67</f>
        <v>15000</v>
      </c>
      <c r="P67" s="572"/>
      <c r="Q67" s="572"/>
      <c r="R67" s="572"/>
      <c r="S67" s="572"/>
      <c r="T67" s="572"/>
      <c r="U67" s="572"/>
      <c r="V67" s="572"/>
    </row>
    <row r="68" spans="1:22" s="573" customFormat="1" ht="25.2" customHeight="1" thickBot="1" x14ac:dyDescent="0.3">
      <c r="A68" s="561">
        <v>247</v>
      </c>
      <c r="B68" s="538">
        <v>223</v>
      </c>
      <c r="C68" s="561" t="s">
        <v>710</v>
      </c>
      <c r="D68" s="558" t="s">
        <v>711</v>
      </c>
      <c r="E68" s="1119"/>
      <c r="F68" s="584"/>
      <c r="G68" s="581"/>
      <c r="H68" s="577">
        <f>H70+H69</f>
        <v>100000</v>
      </c>
      <c r="I68" s="796">
        <f>I70</f>
        <v>0</v>
      </c>
      <c r="J68" s="545"/>
      <c r="K68" s="1299"/>
      <c r="L68" s="1343"/>
      <c r="M68" s="1394"/>
      <c r="N68" s="1394"/>
      <c r="O68" s="1367"/>
      <c r="P68" s="806"/>
      <c r="Q68" s="572"/>
      <c r="R68" s="572"/>
      <c r="S68" s="572"/>
      <c r="T68" s="572"/>
      <c r="U68" s="572"/>
      <c r="V68" s="572"/>
    </row>
    <row r="69" spans="1:22" s="573" customFormat="1" ht="25.2" customHeight="1" thickBot="1" x14ac:dyDescent="0.3">
      <c r="A69" s="576"/>
      <c r="B69" s="537"/>
      <c r="C69" s="576"/>
      <c r="D69" s="557" t="s">
        <v>908</v>
      </c>
      <c r="E69" s="1410" t="s">
        <v>718</v>
      </c>
      <c r="F69" s="564">
        <v>1</v>
      </c>
      <c r="G69" s="547">
        <f>H69/F69</f>
        <v>50000</v>
      </c>
      <c r="H69" s="547">
        <v>50000</v>
      </c>
      <c r="I69" s="781"/>
      <c r="J69" s="577"/>
      <c r="K69" s="1299" t="str">
        <f>D69</f>
        <v xml:space="preserve">Кредиторская задолженность </v>
      </c>
      <c r="L69" s="1341"/>
      <c r="M69" s="1394"/>
      <c r="N69" s="1381"/>
      <c r="O69" s="1368">
        <f>H69-M69</f>
        <v>50000</v>
      </c>
      <c r="P69" s="806"/>
      <c r="Q69" s="572"/>
      <c r="R69" s="572"/>
      <c r="S69" s="572"/>
      <c r="T69" s="572"/>
      <c r="U69" s="572"/>
      <c r="V69" s="572"/>
    </row>
    <row r="70" spans="1:22" s="573" customFormat="1" ht="25.2" customHeight="1" thickBot="1" x14ac:dyDescent="0.3">
      <c r="A70" s="535"/>
      <c r="B70" s="530"/>
      <c r="C70" s="535"/>
      <c r="D70" s="557" t="s">
        <v>712</v>
      </c>
      <c r="E70" s="1121" t="s">
        <v>714</v>
      </c>
      <c r="F70" s="565">
        <v>666.67</v>
      </c>
      <c r="G70" s="547">
        <f>H70/F70</f>
        <v>75</v>
      </c>
      <c r="H70" s="549">
        <v>50000</v>
      </c>
      <c r="I70" s="804"/>
      <c r="J70" s="549"/>
      <c r="K70" s="1333" t="str">
        <f>D70</f>
        <v>Холодное в/снабжение</v>
      </c>
      <c r="L70" s="1214"/>
      <c r="M70" s="1381"/>
      <c r="N70" s="1393"/>
      <c r="O70" s="1368">
        <f>H70+I70-M70</f>
        <v>50000</v>
      </c>
      <c r="P70" s="572"/>
      <c r="Q70" s="572"/>
      <c r="R70" s="572"/>
      <c r="S70" s="572"/>
      <c r="T70" s="572"/>
      <c r="U70" s="572"/>
      <c r="V70" s="572"/>
    </row>
    <row r="71" spans="1:22" s="573" customFormat="1" x14ac:dyDescent="0.25">
      <c r="A71" s="1169"/>
      <c r="B71" s="1169"/>
      <c r="C71" s="1169"/>
      <c r="D71" s="1170" t="s">
        <v>8</v>
      </c>
      <c r="E71" s="591"/>
      <c r="F71" s="566"/>
      <c r="G71" s="724"/>
      <c r="H71" s="1479">
        <f>H63+H19+H8+H16+H14</f>
        <v>5343500</v>
      </c>
      <c r="I71" s="1171" t="e">
        <f>I63+I19+I8+I16</f>
        <v>#REF!</v>
      </c>
      <c r="J71" s="1171" t="e">
        <f>J63+J19+J8</f>
        <v>#REF!</v>
      </c>
      <c r="K71" s="847"/>
      <c r="L71" s="895"/>
      <c r="M71" s="896"/>
      <c r="N71" s="1469"/>
      <c r="O71" s="896"/>
      <c r="P71" s="572"/>
      <c r="Q71" s="572"/>
      <c r="R71" s="572"/>
      <c r="S71" s="572"/>
      <c r="T71" s="572"/>
      <c r="U71" s="572"/>
      <c r="V71" s="572"/>
    </row>
    <row r="72" spans="1:22" ht="11.25" customHeight="1" x14ac:dyDescent="0.25">
      <c r="A72" s="1820" t="s">
        <v>780</v>
      </c>
      <c r="B72" s="1820"/>
      <c r="C72" s="1820"/>
      <c r="D72" s="1820"/>
      <c r="H72" s="789">
        <f>'поступления 810 26-28'!H82-'поступления 810 26-28'!E75</f>
        <v>5343500</v>
      </c>
      <c r="I72" s="1146">
        <f>'поступления 810 26-28'!I82-'поступления 810 26-28'!F75</f>
        <v>0</v>
      </c>
      <c r="J72" s="1153" t="e">
        <f>J71-'прочие поступ строка 1980 (510)'!E21</f>
        <v>#REF!</v>
      </c>
    </row>
    <row r="73" spans="1:22" ht="12" customHeight="1" x14ac:dyDescent="0.25">
      <c r="A73" s="1819" t="s">
        <v>128</v>
      </c>
      <c r="B73" s="1819"/>
      <c r="C73" s="1819"/>
      <c r="H73" s="789">
        <f>H72-H71</f>
        <v>0</v>
      </c>
      <c r="I73" s="1146" t="e">
        <f>I72-I71</f>
        <v>#REF!</v>
      </c>
      <c r="J73" s="1168"/>
    </row>
    <row r="74" spans="1:22" ht="12.75" customHeight="1" x14ac:dyDescent="0.25"/>
    <row r="75" spans="1:22" ht="46.2" customHeight="1" x14ac:dyDescent="0.25">
      <c r="A75" s="1814"/>
      <c r="B75" s="1814"/>
      <c r="C75" s="1814"/>
      <c r="D75" s="1814"/>
      <c r="E75" s="1814"/>
      <c r="F75" s="1814"/>
      <c r="G75" s="842"/>
      <c r="H75" s="842"/>
      <c r="I75" s="842"/>
      <c r="J75" s="842"/>
    </row>
    <row r="76" spans="1:22" ht="63" customHeight="1" x14ac:dyDescent="0.25">
      <c r="A76" s="1824"/>
      <c r="B76" s="1824"/>
      <c r="C76" s="1824"/>
      <c r="D76" s="1824"/>
      <c r="E76" s="1824"/>
      <c r="F76" s="1824"/>
      <c r="G76" s="1824"/>
      <c r="H76" s="842"/>
      <c r="I76" s="842"/>
      <c r="J76" s="842"/>
    </row>
    <row r="77" spans="1:22" ht="49.95" customHeight="1" x14ac:dyDescent="0.25">
      <c r="A77" s="1825"/>
      <c r="B77" s="1825"/>
      <c r="C77" s="1825"/>
      <c r="D77" s="1825"/>
      <c r="E77" s="841"/>
      <c r="F77" s="817"/>
      <c r="G77" s="842"/>
      <c r="H77" s="842"/>
      <c r="I77" s="842"/>
      <c r="J77" s="842"/>
    </row>
    <row r="78" spans="1:22" ht="50.4" customHeight="1" x14ac:dyDescent="0.25">
      <c r="A78" s="1824"/>
      <c r="B78" s="1824"/>
      <c r="C78" s="1824"/>
      <c r="D78" s="1824"/>
      <c r="E78" s="1824"/>
      <c r="F78" s="817"/>
      <c r="G78" s="842"/>
      <c r="H78" s="842"/>
      <c r="I78" s="842"/>
      <c r="J78" s="842"/>
      <c r="M78" s="1197"/>
      <c r="O78" s="1197"/>
    </row>
    <row r="79" spans="1:22" ht="15.6" x14ac:dyDescent="0.25">
      <c r="A79" s="1177"/>
      <c r="B79" s="1178"/>
      <c r="C79" s="1178"/>
      <c r="D79" s="1179"/>
      <c r="E79" s="841"/>
      <c r="F79" s="817"/>
      <c r="G79" s="842"/>
      <c r="H79" s="842"/>
      <c r="I79" s="842"/>
      <c r="J79" s="842"/>
    </row>
    <row r="80" spans="1:22" ht="15.6" x14ac:dyDescent="0.25">
      <c r="A80" s="1180"/>
      <c r="B80" s="897"/>
      <c r="C80" s="897"/>
      <c r="D80" s="904"/>
      <c r="E80" s="841"/>
      <c r="F80" s="817"/>
      <c r="G80" s="842"/>
      <c r="H80" s="842"/>
      <c r="I80" s="842"/>
      <c r="J80" s="842"/>
    </row>
    <row r="81" spans="1:10" ht="67.2" customHeight="1" x14ac:dyDescent="0.25">
      <c r="A81" s="1814"/>
      <c r="B81" s="1815"/>
      <c r="C81" s="1815"/>
      <c r="D81" s="1815"/>
      <c r="E81" s="841"/>
      <c r="F81" s="817"/>
      <c r="G81" s="842"/>
      <c r="H81" s="842"/>
      <c r="I81" s="842"/>
      <c r="J81" s="842"/>
    </row>
    <row r="82" spans="1:10" ht="15.6" x14ac:dyDescent="0.25">
      <c r="A82" s="1180"/>
      <c r="B82" s="1180"/>
      <c r="C82" s="1180"/>
      <c r="D82" s="1196"/>
      <c r="E82" s="841"/>
      <c r="F82" s="817"/>
      <c r="G82" s="842"/>
      <c r="H82" s="842"/>
      <c r="I82" s="842"/>
      <c r="J82" s="842"/>
    </row>
    <row r="83" spans="1:10" ht="15.6" x14ac:dyDescent="0.25">
      <c r="A83" s="1180"/>
      <c r="B83" s="1180"/>
      <c r="C83" s="1180"/>
      <c r="D83" s="1196"/>
      <c r="E83" s="841"/>
      <c r="F83" s="817"/>
      <c r="G83" s="842"/>
      <c r="H83" s="842"/>
      <c r="I83" s="842"/>
      <c r="J83" s="842"/>
    </row>
    <row r="84" spans="1:10" ht="15.6" x14ac:dyDescent="0.25">
      <c r="A84" s="1180"/>
      <c r="B84" s="897"/>
      <c r="C84" s="897"/>
      <c r="D84" s="904"/>
      <c r="E84" s="841"/>
      <c r="F84" s="817"/>
      <c r="G84" s="842"/>
      <c r="H84" s="842"/>
      <c r="I84" s="842"/>
      <c r="J84" s="842"/>
    </row>
    <row r="85" spans="1:10" x14ac:dyDescent="0.25">
      <c r="A85" s="897"/>
      <c r="B85" s="897"/>
      <c r="C85" s="897"/>
      <c r="D85" s="904"/>
      <c r="E85" s="841"/>
      <c r="F85" s="817"/>
      <c r="G85" s="842"/>
      <c r="H85" s="842"/>
      <c r="I85" s="842"/>
      <c r="J85" s="842"/>
    </row>
    <row r="86" spans="1:10" x14ac:dyDescent="0.25">
      <c r="A86" s="897"/>
      <c r="B86" s="897"/>
      <c r="C86" s="897"/>
      <c r="D86" s="904"/>
      <c r="E86" s="841"/>
      <c r="F86" s="817"/>
      <c r="G86" s="842"/>
      <c r="H86" s="842"/>
      <c r="I86" s="842"/>
      <c r="J86" s="842"/>
    </row>
    <row r="87" spans="1:10" x14ac:dyDescent="0.25">
      <c r="A87" s="897"/>
      <c r="B87" s="897"/>
      <c r="C87" s="897"/>
      <c r="D87" s="904"/>
      <c r="E87" s="841"/>
      <c r="F87" s="817"/>
      <c r="G87" s="842"/>
      <c r="H87" s="842"/>
      <c r="I87" s="842"/>
      <c r="J87" s="842"/>
    </row>
    <row r="88" spans="1:10" x14ac:dyDescent="0.25">
      <c r="A88" s="897"/>
      <c r="B88" s="897"/>
      <c r="C88" s="897"/>
      <c r="D88" s="904"/>
      <c r="E88" s="841"/>
      <c r="F88" s="817"/>
      <c r="G88" s="842"/>
      <c r="H88" s="842"/>
      <c r="I88" s="842"/>
      <c r="J88" s="842"/>
    </row>
    <row r="89" spans="1:10" x14ac:dyDescent="0.25">
      <c r="A89" s="897"/>
      <c r="B89" s="897"/>
      <c r="C89" s="897"/>
      <c r="D89" s="904"/>
      <c r="E89" s="841"/>
      <c r="F89" s="817"/>
      <c r="G89" s="842"/>
      <c r="H89" s="842"/>
      <c r="I89" s="842"/>
      <c r="J89" s="842"/>
    </row>
    <row r="90" spans="1:10" x14ac:dyDescent="0.25">
      <c r="A90" s="897"/>
      <c r="B90" s="897"/>
      <c r="C90" s="897"/>
      <c r="D90" s="904"/>
      <c r="E90" s="841"/>
      <c r="F90" s="817"/>
      <c r="G90" s="842"/>
      <c r="H90" s="842"/>
      <c r="I90" s="842"/>
      <c r="J90" s="842"/>
    </row>
    <row r="91" spans="1:10" x14ac:dyDescent="0.25">
      <c r="A91" s="825"/>
      <c r="B91" s="825"/>
      <c r="C91" s="825"/>
      <c r="E91" s="841"/>
      <c r="F91" s="817"/>
      <c r="G91" s="842"/>
      <c r="H91" s="842"/>
      <c r="I91" s="842"/>
      <c r="J91" s="842"/>
    </row>
    <row r="92" spans="1:10" x14ac:dyDescent="0.25">
      <c r="A92" s="825"/>
      <c r="B92" s="825"/>
      <c r="C92" s="825"/>
      <c r="E92" s="841"/>
      <c r="F92" s="817"/>
      <c r="G92" s="842"/>
      <c r="H92" s="842"/>
      <c r="I92" s="842"/>
      <c r="J92" s="842"/>
    </row>
    <row r="93" spans="1:10" x14ac:dyDescent="0.25">
      <c r="A93" s="825"/>
      <c r="B93" s="825"/>
      <c r="C93" s="825"/>
      <c r="E93" s="841"/>
      <c r="F93" s="817"/>
      <c r="G93" s="842"/>
      <c r="H93" s="842"/>
      <c r="I93" s="842"/>
      <c r="J93" s="842"/>
    </row>
    <row r="94" spans="1:10" x14ac:dyDescent="0.25">
      <c r="A94" s="825"/>
      <c r="B94" s="825"/>
      <c r="C94" s="825"/>
      <c r="E94" s="841"/>
      <c r="F94" s="817"/>
      <c r="G94" s="842"/>
      <c r="H94" s="842"/>
      <c r="I94" s="842"/>
      <c r="J94" s="842"/>
    </row>
    <row r="95" spans="1:10" x14ac:dyDescent="0.25">
      <c r="A95" s="825"/>
      <c r="B95" s="825"/>
      <c r="C95" s="825"/>
      <c r="E95" s="841"/>
      <c r="F95" s="817"/>
      <c r="G95" s="842"/>
      <c r="H95" s="842"/>
      <c r="I95" s="842"/>
      <c r="J95" s="842"/>
    </row>
    <row r="96" spans="1:10" x14ac:dyDescent="0.25">
      <c r="A96" s="825"/>
      <c r="B96" s="825"/>
      <c r="C96" s="825"/>
      <c r="E96" s="841"/>
      <c r="F96" s="817"/>
      <c r="G96" s="842"/>
      <c r="H96" s="842"/>
      <c r="I96" s="842"/>
      <c r="J96" s="842"/>
    </row>
    <row r="97" spans="1:10" x14ac:dyDescent="0.25">
      <c r="A97" s="825"/>
      <c r="B97" s="825"/>
      <c r="C97" s="825"/>
      <c r="D97" s="825"/>
      <c r="E97" s="841"/>
      <c r="F97" s="817"/>
      <c r="G97" s="842"/>
      <c r="H97" s="842"/>
      <c r="I97" s="842"/>
      <c r="J97" s="842"/>
    </row>
    <row r="98" spans="1:10" x14ac:dyDescent="0.25">
      <c r="A98" s="825"/>
      <c r="B98" s="841"/>
      <c r="C98" s="825"/>
      <c r="D98" s="825"/>
      <c r="E98" s="841"/>
      <c r="F98" s="817"/>
      <c r="G98" s="842"/>
      <c r="H98" s="842"/>
      <c r="I98" s="842"/>
      <c r="J98" s="842"/>
    </row>
    <row r="99" spans="1:10" x14ac:dyDescent="0.25">
      <c r="A99" s="825"/>
      <c r="B99" s="825"/>
      <c r="C99" s="825"/>
      <c r="D99" s="825"/>
      <c r="E99" s="841"/>
      <c r="F99" s="817"/>
      <c r="G99" s="842"/>
      <c r="H99" s="842"/>
      <c r="I99" s="842"/>
      <c r="J99" s="842"/>
    </row>
    <row r="100" spans="1:10" x14ac:dyDescent="0.25">
      <c r="A100" s="825"/>
      <c r="B100" s="825"/>
      <c r="C100" s="825"/>
      <c r="D100" s="825"/>
      <c r="E100" s="841"/>
      <c r="F100" s="817"/>
      <c r="G100" s="842"/>
      <c r="H100" s="842"/>
      <c r="I100" s="842"/>
      <c r="J100" s="842"/>
    </row>
    <row r="101" spans="1:10" x14ac:dyDescent="0.25">
      <c r="A101" s="825"/>
      <c r="B101" s="825"/>
      <c r="C101" s="825"/>
      <c r="E101" s="841"/>
      <c r="F101" s="817"/>
      <c r="G101" s="842"/>
      <c r="H101" s="842"/>
      <c r="I101" s="842"/>
      <c r="J101" s="842"/>
    </row>
    <row r="102" spans="1:10" x14ac:dyDescent="0.25">
      <c r="A102" s="825"/>
      <c r="B102" s="825"/>
      <c r="C102" s="825"/>
      <c r="E102" s="841"/>
      <c r="F102" s="817"/>
      <c r="G102" s="842"/>
      <c r="H102" s="842"/>
      <c r="I102" s="842"/>
      <c r="J102" s="842"/>
    </row>
    <row r="103" spans="1:10" x14ac:dyDescent="0.25">
      <c r="A103" s="825"/>
      <c r="B103" s="825"/>
      <c r="C103" s="825"/>
      <c r="E103" s="841"/>
      <c r="F103" s="817"/>
      <c r="G103" s="842"/>
      <c r="H103" s="842"/>
      <c r="I103" s="842"/>
      <c r="J103" s="842"/>
    </row>
    <row r="104" spans="1:10" x14ac:dyDescent="0.25">
      <c r="A104" s="825"/>
      <c r="B104" s="825"/>
      <c r="C104" s="825"/>
      <c r="E104" s="841"/>
      <c r="F104" s="817"/>
      <c r="G104" s="842"/>
      <c r="H104" s="842"/>
      <c r="I104" s="842"/>
      <c r="J104" s="842"/>
    </row>
    <row r="105" spans="1:10" x14ac:dyDescent="0.25">
      <c r="A105" s="825"/>
      <c r="B105" s="825"/>
      <c r="C105" s="825"/>
      <c r="E105" s="841"/>
      <c r="F105" s="817"/>
      <c r="G105" s="842"/>
      <c r="H105" s="842"/>
      <c r="I105" s="842"/>
      <c r="J105" s="842"/>
    </row>
    <row r="106" spans="1:10" x14ac:dyDescent="0.25">
      <c r="A106" s="825"/>
      <c r="B106" s="825"/>
      <c r="C106" s="825"/>
      <c r="E106" s="841"/>
      <c r="F106" s="817"/>
      <c r="G106" s="842"/>
      <c r="H106" s="842"/>
      <c r="I106" s="842"/>
      <c r="J106" s="842"/>
    </row>
    <row r="107" spans="1:10" x14ac:dyDescent="0.25">
      <c r="A107" s="825"/>
      <c r="B107" s="825"/>
      <c r="C107" s="825"/>
      <c r="E107" s="841"/>
      <c r="F107" s="817"/>
      <c r="G107" s="842"/>
      <c r="H107" s="842"/>
      <c r="I107" s="842"/>
      <c r="J107" s="842"/>
    </row>
    <row r="108" spans="1:10" x14ac:dyDescent="0.25">
      <c r="A108" s="825"/>
      <c r="B108" s="825"/>
      <c r="C108" s="825"/>
      <c r="E108" s="841"/>
      <c r="F108" s="817"/>
      <c r="G108" s="842"/>
      <c r="H108" s="842"/>
      <c r="I108" s="842"/>
      <c r="J108" s="842"/>
    </row>
    <row r="109" spans="1:10" x14ac:dyDescent="0.25">
      <c r="A109" s="825"/>
      <c r="B109" s="825"/>
      <c r="C109" s="825"/>
      <c r="E109" s="841"/>
      <c r="F109" s="817"/>
      <c r="G109" s="842"/>
      <c r="H109" s="842"/>
      <c r="I109" s="842"/>
      <c r="J109" s="842"/>
    </row>
    <row r="110" spans="1:10" x14ac:dyDescent="0.25">
      <c r="A110" s="825"/>
      <c r="B110" s="825"/>
      <c r="C110" s="825"/>
      <c r="E110" s="841"/>
      <c r="F110" s="817"/>
      <c r="G110" s="842"/>
      <c r="H110" s="842"/>
      <c r="I110" s="842"/>
      <c r="J110" s="842"/>
    </row>
    <row r="111" spans="1:10" x14ac:dyDescent="0.25">
      <c r="A111" s="825"/>
      <c r="B111" s="825"/>
      <c r="C111" s="825"/>
      <c r="E111" s="841"/>
      <c r="F111" s="817"/>
      <c r="G111" s="842"/>
      <c r="H111" s="842"/>
      <c r="I111" s="842"/>
      <c r="J111" s="842"/>
    </row>
    <row r="112" spans="1:10" x14ac:dyDescent="0.25">
      <c r="A112" s="825"/>
      <c r="B112" s="825"/>
      <c r="C112" s="825"/>
      <c r="E112" s="841"/>
      <c r="F112" s="817"/>
      <c r="G112" s="842"/>
      <c r="H112" s="842"/>
      <c r="I112" s="842"/>
      <c r="J112" s="842"/>
    </row>
    <row r="113" spans="1:10" x14ac:dyDescent="0.25">
      <c r="A113" s="825"/>
      <c r="B113" s="825"/>
      <c r="C113" s="825"/>
      <c r="E113" s="841"/>
      <c r="F113" s="817"/>
      <c r="G113" s="842"/>
      <c r="H113" s="842"/>
      <c r="I113" s="842"/>
      <c r="J113" s="842"/>
    </row>
    <row r="114" spans="1:10" x14ac:dyDescent="0.25">
      <c r="A114" s="825"/>
      <c r="B114" s="825"/>
      <c r="C114" s="825"/>
      <c r="E114" s="841"/>
      <c r="F114" s="817"/>
      <c r="G114" s="842"/>
      <c r="H114" s="842"/>
      <c r="I114" s="842"/>
      <c r="J114" s="842"/>
    </row>
    <row r="115" spans="1:10" x14ac:dyDescent="0.25">
      <c r="A115" s="825"/>
      <c r="B115" s="825"/>
      <c r="C115" s="825"/>
      <c r="E115" s="841"/>
      <c r="F115" s="817"/>
      <c r="G115" s="842"/>
      <c r="H115" s="842"/>
      <c r="I115" s="842"/>
      <c r="J115" s="842"/>
    </row>
    <row r="116" spans="1:10" x14ac:dyDescent="0.25">
      <c r="A116" s="825"/>
      <c r="B116" s="825"/>
      <c r="C116" s="825"/>
      <c r="E116" s="841"/>
      <c r="F116" s="817"/>
      <c r="G116" s="842"/>
      <c r="H116" s="842"/>
      <c r="I116" s="842"/>
      <c r="J116" s="842"/>
    </row>
    <row r="117" spans="1:10" x14ac:dyDescent="0.25">
      <c r="A117" s="825"/>
      <c r="B117" s="825"/>
      <c r="C117" s="825"/>
      <c r="E117" s="841"/>
      <c r="F117" s="817"/>
      <c r="G117" s="842"/>
      <c r="H117" s="842"/>
      <c r="I117" s="842"/>
      <c r="J117" s="842"/>
    </row>
    <row r="118" spans="1:10" x14ac:dyDescent="0.25">
      <c r="A118" s="825"/>
      <c r="B118" s="825"/>
      <c r="C118" s="825"/>
      <c r="E118" s="841"/>
      <c r="F118" s="817"/>
      <c r="G118" s="842"/>
      <c r="H118" s="842"/>
      <c r="I118" s="842"/>
      <c r="J118" s="842"/>
    </row>
    <row r="119" spans="1:10" x14ac:dyDescent="0.25">
      <c r="A119" s="825"/>
      <c r="B119" s="825"/>
      <c r="C119" s="825"/>
      <c r="E119" s="841"/>
      <c r="F119" s="817"/>
      <c r="G119" s="842"/>
      <c r="H119" s="842"/>
      <c r="I119" s="842"/>
      <c r="J119" s="842"/>
    </row>
    <row r="120" spans="1:10" x14ac:dyDescent="0.25">
      <c r="A120" s="825"/>
      <c r="B120" s="825"/>
      <c r="C120" s="825"/>
      <c r="E120" s="841"/>
      <c r="F120" s="817"/>
      <c r="G120" s="842"/>
      <c r="H120" s="842"/>
      <c r="I120" s="842"/>
      <c r="J120" s="842"/>
    </row>
    <row r="121" spans="1:10" x14ac:dyDescent="0.25">
      <c r="A121" s="825"/>
      <c r="B121" s="825"/>
      <c r="C121" s="825"/>
      <c r="E121" s="841"/>
      <c r="F121" s="817"/>
      <c r="G121" s="842"/>
      <c r="H121" s="842"/>
      <c r="I121" s="842"/>
      <c r="J121" s="842"/>
    </row>
    <row r="122" spans="1:10" x14ac:dyDescent="0.25">
      <c r="A122" s="825"/>
      <c r="B122" s="825"/>
      <c r="C122" s="825"/>
      <c r="E122" s="841"/>
      <c r="F122" s="817"/>
      <c r="G122" s="842"/>
      <c r="H122" s="842"/>
      <c r="I122" s="842"/>
      <c r="J122" s="842"/>
    </row>
    <row r="123" spans="1:10" x14ac:dyDescent="0.25">
      <c r="A123" s="825"/>
      <c r="B123" s="825"/>
      <c r="C123" s="825"/>
      <c r="E123" s="841"/>
      <c r="F123" s="817"/>
      <c r="G123" s="842"/>
      <c r="H123" s="842"/>
      <c r="I123" s="842"/>
      <c r="J123" s="842"/>
    </row>
    <row r="124" spans="1:10" x14ac:dyDescent="0.25">
      <c r="A124" s="825"/>
      <c r="B124" s="825"/>
      <c r="C124" s="825"/>
      <c r="E124" s="841"/>
      <c r="F124" s="817"/>
      <c r="G124" s="842"/>
      <c r="H124" s="842"/>
      <c r="I124" s="842"/>
      <c r="J124" s="842"/>
    </row>
    <row r="125" spans="1:10" x14ac:dyDescent="0.25">
      <c r="A125" s="825"/>
      <c r="B125" s="825"/>
      <c r="C125" s="825"/>
      <c r="E125" s="841"/>
      <c r="F125" s="817"/>
      <c r="G125" s="842"/>
      <c r="H125" s="842"/>
      <c r="I125" s="842"/>
      <c r="J125" s="842"/>
    </row>
    <row r="126" spans="1:10" x14ac:dyDescent="0.25">
      <c r="A126" s="825"/>
      <c r="B126" s="825"/>
      <c r="C126" s="825"/>
      <c r="E126" s="841"/>
      <c r="F126" s="817"/>
      <c r="G126" s="842"/>
      <c r="H126" s="842"/>
      <c r="I126" s="842"/>
      <c r="J126" s="842"/>
    </row>
    <row r="127" spans="1:10" x14ac:dyDescent="0.25">
      <c r="A127" s="825"/>
      <c r="B127" s="825"/>
      <c r="C127" s="825"/>
      <c r="E127" s="841"/>
      <c r="F127" s="817"/>
      <c r="G127" s="842"/>
      <c r="H127" s="842"/>
      <c r="I127" s="842"/>
      <c r="J127" s="842"/>
    </row>
    <row r="128" spans="1:10" x14ac:dyDescent="0.25">
      <c r="A128" s="825"/>
      <c r="B128" s="825"/>
      <c r="C128" s="825"/>
      <c r="E128" s="841"/>
      <c r="F128" s="817"/>
      <c r="G128" s="842"/>
      <c r="H128" s="842"/>
      <c r="I128" s="842"/>
      <c r="J128" s="842"/>
    </row>
    <row r="129" spans="1:10" x14ac:dyDescent="0.25">
      <c r="A129" s="825"/>
      <c r="B129" s="825"/>
      <c r="C129" s="825"/>
      <c r="E129" s="841"/>
      <c r="F129" s="817"/>
      <c r="G129" s="842"/>
      <c r="H129" s="842"/>
      <c r="I129" s="842"/>
      <c r="J129" s="842"/>
    </row>
    <row r="130" spans="1:10" x14ac:dyDescent="0.25">
      <c r="A130" s="825"/>
      <c r="B130" s="825"/>
      <c r="C130" s="825"/>
      <c r="E130" s="841"/>
      <c r="F130" s="817"/>
      <c r="G130" s="842"/>
      <c r="H130" s="842"/>
      <c r="I130" s="842"/>
      <c r="J130" s="842"/>
    </row>
    <row r="131" spans="1:10" x14ac:dyDescent="0.25">
      <c r="A131" s="825"/>
      <c r="B131" s="825"/>
      <c r="C131" s="825"/>
      <c r="E131" s="841"/>
      <c r="F131" s="817"/>
      <c r="G131" s="842"/>
      <c r="H131" s="842"/>
      <c r="I131" s="842"/>
      <c r="J131" s="842"/>
    </row>
    <row r="132" spans="1:10" x14ac:dyDescent="0.25">
      <c r="A132" s="825"/>
      <c r="B132" s="825"/>
      <c r="C132" s="825"/>
      <c r="E132" s="841"/>
      <c r="F132" s="817"/>
      <c r="G132" s="842"/>
      <c r="H132" s="842"/>
      <c r="I132" s="842"/>
      <c r="J132" s="842"/>
    </row>
    <row r="133" spans="1:10" x14ac:dyDescent="0.25">
      <c r="A133" s="825"/>
      <c r="B133" s="825"/>
      <c r="C133" s="825"/>
      <c r="E133" s="841"/>
      <c r="F133" s="817"/>
      <c r="G133" s="842"/>
      <c r="H133" s="842"/>
      <c r="I133" s="842"/>
      <c r="J133" s="842"/>
    </row>
    <row r="134" spans="1:10" x14ac:dyDescent="0.25">
      <c r="A134" s="825"/>
      <c r="B134" s="825"/>
      <c r="C134" s="825"/>
      <c r="E134" s="841"/>
      <c r="F134" s="817"/>
      <c r="G134" s="842"/>
      <c r="H134" s="842"/>
      <c r="I134" s="842"/>
      <c r="J134" s="842"/>
    </row>
    <row r="135" spans="1:10" x14ac:dyDescent="0.25">
      <c r="A135" s="825"/>
      <c r="B135" s="825"/>
      <c r="C135" s="825"/>
      <c r="E135" s="841"/>
      <c r="F135" s="817"/>
      <c r="G135" s="842"/>
      <c r="H135" s="842"/>
      <c r="I135" s="842"/>
      <c r="J135" s="842"/>
    </row>
    <row r="136" spans="1:10" x14ac:dyDescent="0.25">
      <c r="A136" s="825"/>
      <c r="B136" s="825"/>
      <c r="C136" s="825"/>
      <c r="E136" s="841"/>
      <c r="F136" s="817"/>
      <c r="G136" s="842"/>
      <c r="H136" s="842"/>
      <c r="I136" s="842"/>
      <c r="J136" s="842"/>
    </row>
    <row r="137" spans="1:10" x14ac:dyDescent="0.25">
      <c r="A137" s="825"/>
      <c r="B137" s="825"/>
      <c r="C137" s="825"/>
      <c r="E137" s="841"/>
      <c r="F137" s="817"/>
      <c r="G137" s="842"/>
      <c r="H137" s="842"/>
      <c r="I137" s="842"/>
      <c r="J137" s="842"/>
    </row>
    <row r="138" spans="1:10" x14ac:dyDescent="0.25">
      <c r="A138" s="825"/>
      <c r="B138" s="825"/>
      <c r="C138" s="825"/>
      <c r="E138" s="841"/>
      <c r="F138" s="817"/>
      <c r="G138" s="842"/>
      <c r="H138" s="842"/>
      <c r="I138" s="842"/>
      <c r="J138" s="842"/>
    </row>
    <row r="139" spans="1:10" x14ac:dyDescent="0.25">
      <c r="A139" s="825"/>
      <c r="B139" s="825"/>
      <c r="C139" s="825"/>
      <c r="E139" s="841"/>
      <c r="F139" s="817"/>
      <c r="G139" s="842"/>
      <c r="H139" s="842"/>
      <c r="I139" s="842"/>
      <c r="J139" s="842"/>
    </row>
    <row r="140" spans="1:10" x14ac:dyDescent="0.25">
      <c r="A140" s="825"/>
      <c r="B140" s="825"/>
      <c r="C140" s="825"/>
      <c r="E140" s="841"/>
      <c r="F140" s="817"/>
      <c r="G140" s="842"/>
      <c r="H140" s="842"/>
      <c r="I140" s="842"/>
      <c r="J140" s="842"/>
    </row>
    <row r="141" spans="1:10" x14ac:dyDescent="0.25">
      <c r="A141" s="825"/>
      <c r="B141" s="825"/>
      <c r="C141" s="825"/>
      <c r="E141" s="841"/>
      <c r="F141" s="817"/>
      <c r="G141" s="842"/>
      <c r="H141" s="842"/>
      <c r="I141" s="842"/>
      <c r="J141" s="842"/>
    </row>
    <row r="142" spans="1:10" x14ac:dyDescent="0.25">
      <c r="A142" s="825"/>
      <c r="B142" s="825"/>
      <c r="C142" s="825"/>
      <c r="E142" s="841"/>
      <c r="F142" s="817"/>
      <c r="G142" s="842"/>
      <c r="H142" s="842"/>
      <c r="I142" s="842"/>
      <c r="J142" s="842"/>
    </row>
    <row r="143" spans="1:10" x14ac:dyDescent="0.25">
      <c r="A143" s="825"/>
      <c r="B143" s="825"/>
      <c r="C143" s="825"/>
      <c r="E143" s="841"/>
      <c r="F143" s="817"/>
      <c r="G143" s="842"/>
      <c r="H143" s="842"/>
      <c r="I143" s="842"/>
      <c r="J143" s="842"/>
    </row>
    <row r="144" spans="1:10" x14ac:dyDescent="0.25">
      <c r="A144" s="825"/>
      <c r="B144" s="825"/>
      <c r="C144" s="825"/>
      <c r="E144" s="841"/>
      <c r="F144" s="817"/>
      <c r="G144" s="842"/>
      <c r="H144" s="842"/>
      <c r="I144" s="842"/>
      <c r="J144" s="842"/>
    </row>
    <row r="145" spans="1:10" x14ac:dyDescent="0.25">
      <c r="A145" s="825"/>
      <c r="B145" s="825"/>
      <c r="C145" s="825"/>
      <c r="E145" s="841"/>
      <c r="F145" s="817"/>
      <c r="G145" s="842"/>
      <c r="H145" s="842"/>
      <c r="I145" s="842"/>
      <c r="J145" s="842"/>
    </row>
    <row r="146" spans="1:10" x14ac:dyDescent="0.25">
      <c r="A146" s="825"/>
      <c r="B146" s="825"/>
      <c r="C146" s="825"/>
      <c r="E146" s="841"/>
      <c r="F146" s="817"/>
      <c r="G146" s="842"/>
      <c r="H146" s="842"/>
      <c r="I146" s="842"/>
      <c r="J146" s="842"/>
    </row>
    <row r="147" spans="1:10" x14ac:dyDescent="0.25">
      <c r="A147" s="825"/>
      <c r="B147" s="825"/>
      <c r="C147" s="825"/>
      <c r="E147" s="841"/>
      <c r="F147" s="817"/>
      <c r="G147" s="842"/>
      <c r="H147" s="842"/>
      <c r="I147" s="842"/>
      <c r="J147" s="842"/>
    </row>
    <row r="148" spans="1:10" x14ac:dyDescent="0.25">
      <c r="A148" s="825"/>
      <c r="B148" s="825"/>
      <c r="C148" s="825"/>
      <c r="E148" s="841"/>
      <c r="F148" s="817"/>
      <c r="G148" s="842"/>
      <c r="H148" s="842"/>
      <c r="I148" s="842"/>
      <c r="J148" s="842"/>
    </row>
    <row r="149" spans="1:10" x14ac:dyDescent="0.25">
      <c r="A149" s="825"/>
      <c r="B149" s="825"/>
      <c r="C149" s="825"/>
      <c r="E149" s="841"/>
      <c r="F149" s="817"/>
      <c r="G149" s="842"/>
      <c r="H149" s="842"/>
      <c r="I149" s="842"/>
      <c r="J149" s="842"/>
    </row>
    <row r="150" spans="1:10" x14ac:dyDescent="0.25">
      <c r="A150" s="825"/>
      <c r="B150" s="825"/>
      <c r="C150" s="825"/>
      <c r="E150" s="841"/>
      <c r="F150" s="817"/>
      <c r="G150" s="842"/>
      <c r="H150" s="842"/>
      <c r="I150" s="842"/>
      <c r="J150" s="842"/>
    </row>
    <row r="151" spans="1:10" x14ac:dyDescent="0.25">
      <c r="A151" s="825"/>
      <c r="B151" s="825"/>
      <c r="C151" s="825"/>
      <c r="E151" s="841"/>
      <c r="F151" s="817"/>
      <c r="G151" s="842"/>
      <c r="H151" s="842"/>
      <c r="I151" s="842"/>
      <c r="J151" s="842"/>
    </row>
    <row r="152" spans="1:10" x14ac:dyDescent="0.25">
      <c r="A152" s="825"/>
      <c r="B152" s="825"/>
      <c r="C152" s="825"/>
      <c r="E152" s="841"/>
      <c r="F152" s="817"/>
      <c r="G152" s="842"/>
      <c r="H152" s="842"/>
      <c r="I152" s="842"/>
      <c r="J152" s="842"/>
    </row>
    <row r="153" spans="1:10" x14ac:dyDescent="0.25">
      <c r="A153" s="825"/>
      <c r="B153" s="825"/>
      <c r="C153" s="825"/>
      <c r="E153" s="841"/>
      <c r="F153" s="817"/>
      <c r="G153" s="842"/>
      <c r="H153" s="842"/>
      <c r="I153" s="842"/>
      <c r="J153" s="842"/>
    </row>
    <row r="154" spans="1:10" x14ac:dyDescent="0.25">
      <c r="A154" s="825"/>
      <c r="B154" s="825"/>
      <c r="C154" s="825"/>
      <c r="E154" s="841"/>
      <c r="F154" s="817"/>
      <c r="G154" s="842"/>
      <c r="H154" s="842"/>
      <c r="I154" s="842"/>
      <c r="J154" s="842"/>
    </row>
    <row r="155" spans="1:10" x14ac:dyDescent="0.25">
      <c r="A155" s="825"/>
      <c r="B155" s="825"/>
      <c r="C155" s="825"/>
      <c r="E155" s="841"/>
      <c r="F155" s="817"/>
      <c r="G155" s="842"/>
      <c r="H155" s="842"/>
      <c r="I155" s="842"/>
      <c r="J155" s="842"/>
    </row>
    <row r="156" spans="1:10" x14ac:dyDescent="0.25">
      <c r="A156" s="825"/>
      <c r="B156" s="825"/>
      <c r="C156" s="825"/>
      <c r="E156" s="841"/>
      <c r="F156" s="817"/>
      <c r="G156" s="842"/>
      <c r="H156" s="842"/>
      <c r="I156" s="842"/>
      <c r="J156" s="842"/>
    </row>
    <row r="157" spans="1:10" x14ac:dyDescent="0.25">
      <c r="A157" s="825"/>
      <c r="B157" s="825"/>
      <c r="C157" s="825"/>
      <c r="E157" s="841"/>
      <c r="F157" s="817"/>
      <c r="G157" s="842"/>
      <c r="H157" s="842"/>
      <c r="I157" s="842"/>
      <c r="J157" s="842"/>
    </row>
    <row r="158" spans="1:10" x14ac:dyDescent="0.25">
      <c r="A158" s="825"/>
      <c r="B158" s="825"/>
      <c r="C158" s="825"/>
      <c r="E158" s="841"/>
      <c r="F158" s="817"/>
      <c r="G158" s="842"/>
      <c r="H158" s="842"/>
      <c r="I158" s="842"/>
      <c r="J158" s="842"/>
    </row>
    <row r="159" spans="1:10" x14ac:dyDescent="0.25">
      <c r="A159" s="825"/>
      <c r="B159" s="825"/>
      <c r="C159" s="825"/>
      <c r="E159" s="841"/>
      <c r="F159" s="817"/>
      <c r="G159" s="842"/>
      <c r="H159" s="842"/>
      <c r="I159" s="842"/>
      <c r="J159" s="842"/>
    </row>
    <row r="160" spans="1:10" x14ac:dyDescent="0.25">
      <c r="A160" s="825"/>
      <c r="B160" s="825"/>
      <c r="C160" s="825"/>
      <c r="E160" s="841"/>
      <c r="F160" s="817"/>
      <c r="G160" s="842"/>
      <c r="H160" s="842"/>
      <c r="I160" s="842"/>
      <c r="J160" s="842"/>
    </row>
    <row r="161" spans="1:10" x14ac:dyDescent="0.25">
      <c r="A161" s="825"/>
      <c r="B161" s="825"/>
      <c r="C161" s="825"/>
      <c r="E161" s="841"/>
      <c r="F161" s="817"/>
      <c r="G161" s="842"/>
      <c r="H161" s="842"/>
      <c r="I161" s="842"/>
      <c r="J161" s="842"/>
    </row>
    <row r="162" spans="1:10" x14ac:dyDescent="0.25">
      <c r="A162" s="825"/>
      <c r="B162" s="825"/>
      <c r="C162" s="825"/>
      <c r="E162" s="841"/>
      <c r="F162" s="817"/>
      <c r="G162" s="842"/>
      <c r="H162" s="842"/>
      <c r="I162" s="842"/>
      <c r="J162" s="842"/>
    </row>
    <row r="163" spans="1:10" x14ac:dyDescent="0.25">
      <c r="A163" s="825"/>
      <c r="B163" s="825"/>
      <c r="C163" s="825"/>
      <c r="E163" s="841"/>
      <c r="F163" s="817"/>
      <c r="G163" s="842"/>
      <c r="H163" s="842"/>
      <c r="I163" s="842"/>
      <c r="J163" s="842"/>
    </row>
    <row r="164" spans="1:10" x14ac:dyDescent="0.25">
      <c r="A164" s="825"/>
      <c r="B164" s="825"/>
      <c r="C164" s="825"/>
      <c r="E164" s="841"/>
      <c r="F164" s="817"/>
      <c r="G164" s="842"/>
      <c r="H164" s="842"/>
      <c r="I164" s="842"/>
      <c r="J164" s="842"/>
    </row>
    <row r="165" spans="1:10" x14ac:dyDescent="0.25">
      <c r="A165" s="825"/>
      <c r="B165" s="825"/>
      <c r="C165" s="825"/>
      <c r="E165" s="841"/>
      <c r="F165" s="817"/>
      <c r="G165" s="842"/>
      <c r="H165" s="842"/>
      <c r="I165" s="842"/>
      <c r="J165" s="842"/>
    </row>
    <row r="166" spans="1:10" x14ac:dyDescent="0.25">
      <c r="A166" s="825"/>
      <c r="B166" s="825"/>
      <c r="C166" s="825"/>
      <c r="E166" s="841"/>
      <c r="F166" s="817"/>
      <c r="G166" s="842"/>
      <c r="H166" s="842"/>
      <c r="I166" s="842"/>
      <c r="J166" s="842"/>
    </row>
    <row r="167" spans="1:10" x14ac:dyDescent="0.25">
      <c r="A167" s="825"/>
      <c r="B167" s="825"/>
      <c r="C167" s="825"/>
      <c r="E167" s="841"/>
      <c r="F167" s="817"/>
      <c r="G167" s="842"/>
      <c r="H167" s="842"/>
      <c r="I167" s="842"/>
      <c r="J167" s="842"/>
    </row>
    <row r="168" spans="1:10" x14ac:dyDescent="0.25">
      <c r="A168" s="825"/>
      <c r="B168" s="825"/>
      <c r="C168" s="825"/>
      <c r="E168" s="841"/>
      <c r="F168" s="817"/>
      <c r="G168" s="842"/>
      <c r="H168" s="842"/>
      <c r="I168" s="842"/>
      <c r="J168" s="842"/>
    </row>
    <row r="169" spans="1:10" x14ac:dyDescent="0.25">
      <c r="A169" s="825"/>
      <c r="B169" s="825"/>
      <c r="C169" s="825"/>
      <c r="E169" s="841"/>
      <c r="F169" s="817"/>
      <c r="G169" s="842"/>
      <c r="H169" s="842"/>
      <c r="I169" s="842"/>
      <c r="J169" s="842"/>
    </row>
    <row r="170" spans="1:10" x14ac:dyDescent="0.25">
      <c r="A170" s="825"/>
      <c r="B170" s="825"/>
      <c r="C170" s="825"/>
      <c r="E170" s="841"/>
      <c r="F170" s="817"/>
      <c r="G170" s="842"/>
      <c r="H170" s="842"/>
      <c r="I170" s="842"/>
      <c r="J170" s="842"/>
    </row>
    <row r="171" spans="1:10" x14ac:dyDescent="0.25">
      <c r="A171" s="825"/>
      <c r="B171" s="825"/>
      <c r="C171" s="825"/>
      <c r="E171" s="841"/>
      <c r="F171" s="817"/>
      <c r="G171" s="842"/>
      <c r="H171" s="842"/>
      <c r="I171" s="842"/>
      <c r="J171" s="842"/>
    </row>
    <row r="172" spans="1:10" x14ac:dyDescent="0.25">
      <c r="A172" s="825"/>
      <c r="B172" s="825"/>
      <c r="C172" s="825"/>
      <c r="E172" s="841"/>
      <c r="F172" s="817"/>
      <c r="G172" s="842"/>
      <c r="H172" s="842"/>
      <c r="I172" s="842"/>
      <c r="J172" s="842"/>
    </row>
    <row r="173" spans="1:10" x14ac:dyDescent="0.25">
      <c r="A173" s="825"/>
      <c r="B173" s="825"/>
      <c r="C173" s="825"/>
      <c r="E173" s="841"/>
      <c r="F173" s="817"/>
      <c r="G173" s="842"/>
      <c r="H173" s="842"/>
      <c r="I173" s="842"/>
      <c r="J173" s="842"/>
    </row>
    <row r="174" spans="1:10" x14ac:dyDescent="0.25">
      <c r="A174" s="825"/>
      <c r="B174" s="825"/>
      <c r="C174" s="825"/>
      <c r="E174" s="841"/>
      <c r="F174" s="817"/>
      <c r="G174" s="842"/>
      <c r="H174" s="842"/>
      <c r="I174" s="842"/>
      <c r="J174" s="842"/>
    </row>
    <row r="175" spans="1:10" x14ac:dyDescent="0.25">
      <c r="A175" s="825"/>
      <c r="B175" s="825"/>
      <c r="C175" s="825"/>
      <c r="E175" s="841"/>
      <c r="F175" s="817"/>
      <c r="G175" s="842"/>
      <c r="H175" s="842"/>
      <c r="I175" s="842"/>
      <c r="J175" s="842"/>
    </row>
    <row r="176" spans="1:10" x14ac:dyDescent="0.25">
      <c r="A176" s="825"/>
      <c r="B176" s="825"/>
      <c r="C176" s="825"/>
      <c r="E176" s="841"/>
      <c r="F176" s="817"/>
      <c r="G176" s="842"/>
      <c r="H176" s="842"/>
      <c r="I176" s="842"/>
      <c r="J176" s="842"/>
    </row>
    <row r="177" spans="1:10" x14ac:dyDescent="0.25">
      <c r="A177" s="825"/>
      <c r="B177" s="825"/>
      <c r="C177" s="825"/>
      <c r="E177" s="841"/>
      <c r="F177" s="817"/>
      <c r="G177" s="842"/>
      <c r="H177" s="842"/>
      <c r="I177" s="842"/>
      <c r="J177" s="842"/>
    </row>
    <row r="178" spans="1:10" x14ac:dyDescent="0.25">
      <c r="A178" s="825"/>
      <c r="B178" s="825"/>
      <c r="C178" s="825"/>
      <c r="E178" s="841"/>
      <c r="F178" s="817"/>
      <c r="G178" s="842"/>
      <c r="H178" s="842"/>
      <c r="I178" s="842"/>
      <c r="J178" s="842"/>
    </row>
    <row r="179" spans="1:10" x14ac:dyDescent="0.25">
      <c r="A179" s="825"/>
      <c r="B179" s="825"/>
      <c r="C179" s="825"/>
      <c r="E179" s="841"/>
      <c r="F179" s="817"/>
      <c r="G179" s="842"/>
      <c r="H179" s="842"/>
      <c r="I179" s="842"/>
      <c r="J179" s="842"/>
    </row>
    <row r="180" spans="1:10" x14ac:dyDescent="0.25">
      <c r="A180" s="825"/>
      <c r="B180" s="825"/>
      <c r="C180" s="825"/>
      <c r="E180" s="841"/>
      <c r="F180" s="817"/>
      <c r="G180" s="842"/>
      <c r="H180" s="842"/>
      <c r="I180" s="842"/>
      <c r="J180" s="842"/>
    </row>
    <row r="181" spans="1:10" x14ac:dyDescent="0.25">
      <c r="A181" s="825"/>
      <c r="B181" s="825"/>
      <c r="C181" s="825"/>
      <c r="E181" s="841"/>
      <c r="F181" s="817"/>
      <c r="G181" s="842"/>
      <c r="H181" s="842"/>
      <c r="I181" s="842"/>
      <c r="J181" s="842"/>
    </row>
    <row r="182" spans="1:10" x14ac:dyDescent="0.25">
      <c r="A182" s="825"/>
      <c r="B182" s="825"/>
      <c r="C182" s="825"/>
      <c r="E182" s="841"/>
      <c r="F182" s="817"/>
      <c r="G182" s="842"/>
      <c r="H182" s="842"/>
      <c r="I182" s="842"/>
      <c r="J182" s="842"/>
    </row>
    <row r="183" spans="1:10" x14ac:dyDescent="0.25">
      <c r="A183" s="825"/>
      <c r="B183" s="825"/>
      <c r="C183" s="825"/>
      <c r="E183" s="841"/>
      <c r="F183" s="817"/>
      <c r="G183" s="842"/>
      <c r="H183" s="842"/>
      <c r="I183" s="842"/>
      <c r="J183" s="842"/>
    </row>
    <row r="184" spans="1:10" x14ac:dyDescent="0.25">
      <c r="A184" s="825"/>
      <c r="B184" s="825"/>
      <c r="C184" s="825"/>
      <c r="E184" s="841"/>
      <c r="F184" s="817"/>
      <c r="G184" s="842"/>
      <c r="H184" s="842"/>
      <c r="I184" s="842"/>
      <c r="J184" s="842"/>
    </row>
    <row r="185" spans="1:10" x14ac:dyDescent="0.25">
      <c r="A185" s="825"/>
      <c r="B185" s="825"/>
      <c r="C185" s="825"/>
      <c r="E185" s="841"/>
      <c r="F185" s="817"/>
      <c r="G185" s="842"/>
      <c r="H185" s="842"/>
      <c r="I185" s="842"/>
      <c r="J185" s="842"/>
    </row>
    <row r="186" spans="1:10" x14ac:dyDescent="0.25">
      <c r="A186" s="825"/>
      <c r="B186" s="825"/>
      <c r="C186" s="825"/>
      <c r="E186" s="841"/>
      <c r="F186" s="817"/>
      <c r="G186" s="842"/>
      <c r="H186" s="842"/>
      <c r="I186" s="842"/>
      <c r="J186" s="842"/>
    </row>
    <row r="187" spans="1:10" x14ac:dyDescent="0.25">
      <c r="A187" s="825"/>
      <c r="B187" s="825"/>
      <c r="C187" s="825"/>
      <c r="E187" s="841"/>
      <c r="F187" s="817"/>
      <c r="G187" s="842"/>
      <c r="H187" s="842"/>
      <c r="I187" s="842"/>
      <c r="J187" s="842"/>
    </row>
    <row r="188" spans="1:10" x14ac:dyDescent="0.25">
      <c r="A188" s="825"/>
      <c r="B188" s="825"/>
      <c r="C188" s="825"/>
      <c r="E188" s="841"/>
      <c r="F188" s="817"/>
      <c r="G188" s="842"/>
      <c r="H188" s="842"/>
      <c r="I188" s="842"/>
      <c r="J188" s="842"/>
    </row>
    <row r="189" spans="1:10" x14ac:dyDescent="0.25">
      <c r="A189" s="825"/>
      <c r="B189" s="825"/>
      <c r="C189" s="825"/>
      <c r="E189" s="841"/>
      <c r="F189" s="817"/>
      <c r="G189" s="842"/>
      <c r="H189" s="842"/>
      <c r="I189" s="842"/>
      <c r="J189" s="842"/>
    </row>
    <row r="190" spans="1:10" x14ac:dyDescent="0.25">
      <c r="A190" s="825"/>
      <c r="B190" s="825"/>
      <c r="C190" s="825"/>
      <c r="E190" s="841"/>
      <c r="F190" s="817"/>
      <c r="G190" s="842"/>
      <c r="H190" s="842"/>
      <c r="I190" s="842"/>
      <c r="J190" s="842"/>
    </row>
    <row r="191" spans="1:10" x14ac:dyDescent="0.25">
      <c r="A191" s="825"/>
      <c r="B191" s="825"/>
      <c r="C191" s="825"/>
      <c r="E191" s="841"/>
      <c r="F191" s="817"/>
      <c r="G191" s="842"/>
      <c r="H191" s="842"/>
      <c r="I191" s="842"/>
      <c r="J191" s="842"/>
    </row>
    <row r="192" spans="1:10" x14ac:dyDescent="0.25">
      <c r="A192" s="825"/>
      <c r="B192" s="825"/>
      <c r="C192" s="825"/>
      <c r="E192" s="841"/>
      <c r="F192" s="817"/>
      <c r="G192" s="842"/>
      <c r="H192" s="842"/>
      <c r="I192" s="842"/>
      <c r="J192" s="842"/>
    </row>
    <row r="193" spans="1:27" x14ac:dyDescent="0.25">
      <c r="A193" s="825"/>
      <c r="B193" s="825"/>
      <c r="C193" s="825"/>
      <c r="E193" s="841"/>
      <c r="F193" s="817"/>
      <c r="G193" s="842"/>
      <c r="H193" s="842"/>
      <c r="I193" s="842"/>
      <c r="J193" s="842"/>
    </row>
    <row r="194" spans="1:27" x14ac:dyDescent="0.25">
      <c r="A194" s="825"/>
      <c r="B194" s="825"/>
      <c r="C194" s="825"/>
      <c r="E194" s="841"/>
      <c r="F194" s="817"/>
      <c r="G194" s="842"/>
      <c r="H194" s="842"/>
      <c r="I194" s="842"/>
      <c r="J194" s="842"/>
    </row>
    <row r="195" spans="1:27" x14ac:dyDescent="0.25">
      <c r="A195" s="825"/>
      <c r="B195" s="825"/>
      <c r="C195" s="825"/>
      <c r="E195" s="841"/>
      <c r="F195" s="817"/>
      <c r="G195" s="842"/>
      <c r="H195" s="842"/>
      <c r="I195" s="842"/>
      <c r="J195" s="842"/>
    </row>
    <row r="196" spans="1:27" x14ac:dyDescent="0.25">
      <c r="A196" s="825"/>
      <c r="B196" s="825"/>
      <c r="C196" s="825"/>
      <c r="E196" s="841"/>
      <c r="F196" s="817"/>
      <c r="G196" s="842"/>
      <c r="H196" s="842"/>
      <c r="I196" s="842"/>
      <c r="J196" s="842"/>
    </row>
    <row r="197" spans="1:27" x14ac:dyDescent="0.25">
      <c r="A197" s="825"/>
      <c r="B197" s="825"/>
      <c r="C197" s="825"/>
      <c r="E197" s="841"/>
      <c r="F197" s="817"/>
      <c r="G197" s="842"/>
      <c r="H197" s="842"/>
      <c r="I197" s="842"/>
      <c r="J197" s="842"/>
    </row>
    <row r="198" spans="1:27" x14ac:dyDescent="0.25">
      <c r="A198" s="825"/>
      <c r="B198" s="825"/>
      <c r="C198" s="825"/>
      <c r="E198" s="841"/>
      <c r="F198" s="817"/>
      <c r="G198" s="842"/>
      <c r="H198" s="842"/>
      <c r="I198" s="842"/>
      <c r="J198" s="842"/>
    </row>
    <row r="199" spans="1:27" x14ac:dyDescent="0.25">
      <c r="A199" s="825"/>
      <c r="B199" s="825"/>
      <c r="C199" s="825"/>
      <c r="E199" s="841"/>
      <c r="F199" s="817"/>
      <c r="G199" s="842"/>
      <c r="H199" s="842"/>
      <c r="I199" s="842"/>
      <c r="J199" s="842"/>
    </row>
    <row r="200" spans="1:27" x14ac:dyDescent="0.25">
      <c r="A200" s="825"/>
      <c r="B200" s="825"/>
      <c r="C200" s="825"/>
      <c r="E200" s="841"/>
      <c r="F200" s="817"/>
      <c r="G200" s="842"/>
      <c r="H200" s="842"/>
      <c r="I200" s="842"/>
      <c r="J200" s="842"/>
    </row>
    <row r="201" spans="1:27" x14ac:dyDescent="0.25">
      <c r="A201" s="825"/>
      <c r="B201" s="825"/>
      <c r="C201" s="825"/>
      <c r="E201" s="841"/>
      <c r="F201" s="817"/>
      <c r="G201" s="842"/>
      <c r="H201" s="842"/>
      <c r="I201" s="842"/>
      <c r="J201" s="842"/>
    </row>
    <row r="202" spans="1:27" x14ac:dyDescent="0.25">
      <c r="A202" s="825"/>
      <c r="B202" s="825"/>
      <c r="C202" s="825"/>
      <c r="E202" s="841"/>
      <c r="F202" s="817"/>
      <c r="G202" s="842"/>
      <c r="H202" s="842"/>
      <c r="I202" s="842"/>
      <c r="J202" s="842"/>
    </row>
    <row r="203" spans="1:27" x14ac:dyDescent="0.25">
      <c r="A203" s="825"/>
      <c r="B203" s="825"/>
      <c r="C203" s="825"/>
      <c r="E203" s="841"/>
      <c r="F203" s="817"/>
      <c r="G203" s="842"/>
      <c r="H203" s="842"/>
      <c r="I203" s="842"/>
      <c r="J203" s="842"/>
    </row>
    <row r="204" spans="1:27" x14ac:dyDescent="0.25">
      <c r="A204" s="825"/>
      <c r="B204" s="825"/>
      <c r="C204" s="825"/>
      <c r="E204" s="841"/>
      <c r="F204" s="817"/>
      <c r="G204" s="842"/>
      <c r="H204" s="842"/>
      <c r="I204" s="842"/>
      <c r="J204" s="842"/>
    </row>
    <row r="205" spans="1:27" x14ac:dyDescent="0.25">
      <c r="A205" s="825"/>
      <c r="B205" s="825"/>
      <c r="C205" s="825"/>
      <c r="E205" s="841"/>
      <c r="F205" s="817"/>
      <c r="G205" s="842"/>
      <c r="H205" s="842"/>
      <c r="I205" s="842"/>
      <c r="J205" s="842"/>
    </row>
    <row r="206" spans="1:27" x14ac:dyDescent="0.25">
      <c r="A206" s="825"/>
      <c r="B206" s="825"/>
      <c r="C206" s="825"/>
      <c r="E206" s="841"/>
      <c r="F206" s="817"/>
      <c r="G206" s="842"/>
      <c r="H206" s="842"/>
      <c r="I206" s="842"/>
      <c r="J206" s="842"/>
    </row>
    <row r="207" spans="1:27" x14ac:dyDescent="0.25">
      <c r="A207" s="825"/>
      <c r="B207" s="825"/>
      <c r="C207" s="825"/>
      <c r="E207" s="841"/>
      <c r="F207" s="817"/>
      <c r="G207" s="842"/>
      <c r="H207" s="842"/>
      <c r="I207" s="842"/>
      <c r="J207" s="842"/>
      <c r="AA207" s="529">
        <f>Y207*Z207</f>
        <v>0</v>
      </c>
    </row>
  </sheetData>
  <autoFilter ref="A7:AA71"/>
  <mergeCells count="44">
    <mergeCell ref="A14:E14"/>
    <mergeCell ref="A16:E16"/>
    <mergeCell ref="A8:E8"/>
    <mergeCell ref="I6:I7"/>
    <mergeCell ref="K25:K26"/>
    <mergeCell ref="A19:E19"/>
    <mergeCell ref="M25:M26"/>
    <mergeCell ref="L25:L26"/>
    <mergeCell ref="K19:O19"/>
    <mergeCell ref="J6:J7"/>
    <mergeCell ref="O4:O7"/>
    <mergeCell ref="M4:M7"/>
    <mergeCell ref="L4:L7"/>
    <mergeCell ref="K4:K7"/>
    <mergeCell ref="K8:O8"/>
    <mergeCell ref="N4:N7"/>
    <mergeCell ref="O25:O26"/>
    <mergeCell ref="A1:H1"/>
    <mergeCell ref="A3:H3"/>
    <mergeCell ref="A4:A7"/>
    <mergeCell ref="B4:B7"/>
    <mergeCell ref="C4:C7"/>
    <mergeCell ref="D4:D7"/>
    <mergeCell ref="E4:E7"/>
    <mergeCell ref="F5:F7"/>
    <mergeCell ref="G5:G7"/>
    <mergeCell ref="H6:H7"/>
    <mergeCell ref="A2:H2"/>
    <mergeCell ref="H5:J5"/>
    <mergeCell ref="F4:J4"/>
    <mergeCell ref="A81:D81"/>
    <mergeCell ref="K47:O47"/>
    <mergeCell ref="K63:O63"/>
    <mergeCell ref="A73:C73"/>
    <mergeCell ref="A72:D72"/>
    <mergeCell ref="A63:E63"/>
    <mergeCell ref="A78:E78"/>
    <mergeCell ref="A76:G76"/>
    <mergeCell ref="A75:F75"/>
    <mergeCell ref="A77:D77"/>
    <mergeCell ref="L52:L62"/>
    <mergeCell ref="K52:K62"/>
    <mergeCell ref="M52:M62"/>
    <mergeCell ref="O52:O62"/>
  </mergeCells>
  <pageMargins left="1.1811023622047245" right="0.39370078740157483" top="0.39370078740157483" bottom="0.15748031496062992" header="0.31496062992125984" footer="0.31496062992125984"/>
  <pageSetup paperSize="9" scale="65" fitToHeight="2" orientation="portrait" r:id="rId1"/>
  <rowBreaks count="2" manualBreakCount="2">
    <brk id="50" max="7" man="1"/>
    <brk id="7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Y191"/>
  <sheetViews>
    <sheetView view="pageBreakPreview" zoomScale="90" zoomScaleNormal="100" zoomScaleSheetLayoutView="90" workbookViewId="0">
      <pane ySplit="7" topLeftCell="A45" activePane="bottomLeft" state="frozen"/>
      <selection pane="bottomLeft" activeCell="A2" sqref="A2:I2"/>
    </sheetView>
  </sheetViews>
  <sheetFormatPr defaultRowHeight="13.2" x14ac:dyDescent="0.25"/>
  <cols>
    <col min="1" max="3" width="9.33203125" style="483"/>
    <col min="4" max="4" width="37.44140625" style="555" customWidth="1"/>
    <col min="5" max="5" width="14" style="598" customWidth="1"/>
    <col min="6" max="6" width="12" style="569" customWidth="1"/>
    <col min="7" max="7" width="16" style="551" customWidth="1"/>
    <col min="8" max="8" width="21.33203125" style="627" customWidth="1"/>
    <col min="9" max="9" width="0.33203125" style="627" customWidth="1"/>
    <col min="10" max="10" width="32.44140625" style="869" customWidth="1"/>
    <col min="11" max="11" width="90.44140625" style="869" customWidth="1"/>
    <col min="12" max="12" width="14.6640625" style="877" customWidth="1"/>
    <col min="13" max="13" width="13.109375" style="877" customWidth="1"/>
    <col min="14" max="20" width="9.33203125" style="495"/>
  </cols>
  <sheetData>
    <row r="1" spans="1:20" ht="16.8" x14ac:dyDescent="0.25">
      <c r="A1" s="1862" t="s">
        <v>917</v>
      </c>
      <c r="B1" s="1862"/>
      <c r="C1" s="1862"/>
      <c r="D1" s="1862"/>
      <c r="E1" s="1862"/>
      <c r="F1" s="1862"/>
      <c r="G1" s="1862"/>
      <c r="H1" s="1862"/>
      <c r="I1" s="1862"/>
    </row>
    <row r="2" spans="1:20" ht="16.8" x14ac:dyDescent="0.25">
      <c r="A2" s="1862" t="s">
        <v>773</v>
      </c>
      <c r="B2" s="1862"/>
      <c r="C2" s="1862"/>
      <c r="D2" s="1862"/>
      <c r="E2" s="1862"/>
      <c r="F2" s="1862"/>
      <c r="G2" s="1862"/>
      <c r="H2" s="1862"/>
      <c r="I2" s="1862"/>
    </row>
    <row r="3" spans="1:20" s="492" customFormat="1" ht="16.2" thickBot="1" x14ac:dyDescent="0.3">
      <c r="A3" s="1744" t="s">
        <v>776</v>
      </c>
      <c r="B3" s="1744"/>
      <c r="C3" s="1744"/>
      <c r="D3" s="1744"/>
      <c r="E3" s="1744"/>
      <c r="F3" s="1744"/>
      <c r="G3" s="1744"/>
      <c r="H3" s="1744"/>
      <c r="I3" s="1744"/>
      <c r="J3" s="870"/>
      <c r="K3" s="870"/>
      <c r="L3" s="497"/>
      <c r="M3" s="497"/>
      <c r="N3" s="496"/>
      <c r="O3" s="496"/>
      <c r="P3" s="496"/>
      <c r="Q3" s="496"/>
      <c r="R3" s="496"/>
      <c r="S3" s="496"/>
      <c r="T3" s="496"/>
    </row>
    <row r="4" spans="1:20" s="492" customFormat="1" x14ac:dyDescent="0.25">
      <c r="A4" s="1882" t="s">
        <v>621</v>
      </c>
      <c r="B4" s="1882" t="s">
        <v>332</v>
      </c>
      <c r="C4" s="1882" t="s">
        <v>676</v>
      </c>
      <c r="D4" s="1883" t="s">
        <v>175</v>
      </c>
      <c r="E4" s="1884" t="s">
        <v>180</v>
      </c>
      <c r="F4" s="1887" t="s">
        <v>692</v>
      </c>
      <c r="G4" s="1888"/>
      <c r="H4" s="1888"/>
      <c r="I4" s="1889"/>
      <c r="J4" s="1896" t="s">
        <v>175</v>
      </c>
      <c r="K4" s="1895" t="s">
        <v>799</v>
      </c>
      <c r="L4" s="1893" t="s">
        <v>81</v>
      </c>
      <c r="M4" s="1891" t="s">
        <v>800</v>
      </c>
      <c r="N4" s="496"/>
      <c r="O4" s="496"/>
      <c r="P4" s="496"/>
      <c r="Q4" s="496"/>
      <c r="R4" s="496"/>
      <c r="S4" s="496"/>
      <c r="T4" s="496"/>
    </row>
    <row r="5" spans="1:20" s="492" customFormat="1" x14ac:dyDescent="0.25">
      <c r="A5" s="1882"/>
      <c r="B5" s="1882"/>
      <c r="C5" s="1882"/>
      <c r="D5" s="1883"/>
      <c r="E5" s="1885"/>
      <c r="F5" s="1783" t="s">
        <v>682</v>
      </c>
      <c r="G5" s="1778" t="s">
        <v>679</v>
      </c>
      <c r="H5" s="1890" t="s">
        <v>685</v>
      </c>
      <c r="I5" s="1890"/>
      <c r="J5" s="1787"/>
      <c r="K5" s="1779"/>
      <c r="L5" s="1894"/>
      <c r="M5" s="1892"/>
      <c r="N5" s="496"/>
      <c r="O5" s="496"/>
      <c r="P5" s="496"/>
      <c r="Q5" s="496"/>
      <c r="R5" s="496"/>
      <c r="S5" s="496"/>
      <c r="T5" s="496"/>
    </row>
    <row r="6" spans="1:20" s="492" customFormat="1" x14ac:dyDescent="0.25">
      <c r="A6" s="1882"/>
      <c r="B6" s="1882"/>
      <c r="C6" s="1882"/>
      <c r="D6" s="1883"/>
      <c r="E6" s="1885"/>
      <c r="F6" s="1784"/>
      <c r="G6" s="1779"/>
      <c r="H6" s="1877" t="s">
        <v>283</v>
      </c>
      <c r="I6" s="1879" t="s">
        <v>742</v>
      </c>
      <c r="J6" s="1787"/>
      <c r="K6" s="1779"/>
      <c r="L6" s="1894"/>
      <c r="M6" s="1892"/>
      <c r="N6" s="496"/>
      <c r="O6" s="496"/>
      <c r="P6" s="496"/>
      <c r="Q6" s="496"/>
      <c r="R6" s="496"/>
      <c r="S6" s="496"/>
      <c r="T6" s="496"/>
    </row>
    <row r="7" spans="1:20" s="493" customFormat="1" x14ac:dyDescent="0.25">
      <c r="A7" s="1882"/>
      <c r="B7" s="1882"/>
      <c r="C7" s="1882"/>
      <c r="D7" s="1883"/>
      <c r="E7" s="1886"/>
      <c r="F7" s="1785"/>
      <c r="G7" s="1780"/>
      <c r="H7" s="1878"/>
      <c r="I7" s="1880"/>
      <c r="J7" s="1787"/>
      <c r="K7" s="1779"/>
      <c r="L7" s="1894"/>
      <c r="M7" s="1892"/>
      <c r="N7" s="497"/>
      <c r="O7" s="497"/>
      <c r="P7" s="497"/>
      <c r="Q7" s="497"/>
      <c r="R7" s="497"/>
      <c r="S7" s="497"/>
      <c r="T7" s="497"/>
    </row>
    <row r="8" spans="1:20" s="493" customFormat="1" ht="39.75" customHeight="1" x14ac:dyDescent="0.25">
      <c r="A8" s="1881" t="s">
        <v>438</v>
      </c>
      <c r="B8" s="1881"/>
      <c r="C8" s="1881"/>
      <c r="D8" s="1881"/>
      <c r="E8" s="1881"/>
      <c r="F8" s="741"/>
      <c r="G8" s="741"/>
      <c r="H8" s="742">
        <f>H9</f>
        <v>0</v>
      </c>
      <c r="I8" s="743">
        <f t="shared" ref="I8" si="0">I9</f>
        <v>0</v>
      </c>
      <c r="J8" s="871"/>
      <c r="K8" s="871"/>
      <c r="L8" s="860"/>
      <c r="M8" s="860"/>
      <c r="N8" s="497"/>
      <c r="O8" s="497"/>
      <c r="P8" s="497"/>
      <c r="Q8" s="497"/>
      <c r="R8" s="497"/>
      <c r="S8" s="497"/>
      <c r="T8" s="497"/>
    </row>
    <row r="9" spans="1:20" s="340" customFormat="1" ht="19.2" customHeight="1" thickBot="1" x14ac:dyDescent="0.3">
      <c r="A9" s="1068"/>
      <c r="B9" s="1068"/>
      <c r="C9" s="1068">
        <v>991</v>
      </c>
      <c r="D9" s="553" t="s">
        <v>672</v>
      </c>
      <c r="E9" s="538"/>
      <c r="F9" s="563"/>
      <c r="G9" s="545"/>
      <c r="H9" s="620">
        <f>H10+H11</f>
        <v>0</v>
      </c>
      <c r="I9" s="621">
        <f t="shared" ref="I9" si="1">I10+I11</f>
        <v>0</v>
      </c>
      <c r="J9" s="1376"/>
      <c r="K9" s="1377"/>
      <c r="L9" s="1365"/>
      <c r="M9" s="1365"/>
      <c r="N9" s="1378"/>
      <c r="O9" s="539"/>
      <c r="P9" s="539"/>
      <c r="Q9" s="539"/>
      <c r="R9" s="539"/>
      <c r="S9" s="539"/>
      <c r="T9" s="539"/>
    </row>
    <row r="10" spans="1:20" s="492" customFormat="1" ht="21.6" customHeight="1" thickBot="1" x14ac:dyDescent="0.3">
      <c r="A10" s="535">
        <v>111</v>
      </c>
      <c r="B10" s="535">
        <v>211</v>
      </c>
      <c r="C10" s="535">
        <v>991</v>
      </c>
      <c r="D10" s="554" t="s">
        <v>703</v>
      </c>
      <c r="E10" s="531" t="s">
        <v>683</v>
      </c>
      <c r="F10" s="564">
        <v>7</v>
      </c>
      <c r="G10" s="547">
        <f t="shared" ref="G10" si="2">(H10+I10)/F10</f>
        <v>0</v>
      </c>
      <c r="H10" s="622"/>
      <c r="I10" s="623"/>
      <c r="J10" s="872"/>
      <c r="K10" s="1374" t="s">
        <v>879</v>
      </c>
      <c r="L10" s="1375"/>
      <c r="M10" s="1360">
        <f>H10+I10-L10</f>
        <v>0</v>
      </c>
      <c r="N10" s="496"/>
      <c r="O10" s="496"/>
      <c r="P10" s="496"/>
      <c r="Q10" s="496"/>
      <c r="R10" s="496"/>
      <c r="S10" s="496"/>
      <c r="T10" s="496"/>
    </row>
    <row r="11" spans="1:20" s="492" customFormat="1" ht="21.6" hidden="1" customHeight="1" thickBot="1" x14ac:dyDescent="0.3">
      <c r="A11" s="536">
        <v>111</v>
      </c>
      <c r="B11" s="536">
        <v>266</v>
      </c>
      <c r="C11" s="536">
        <v>991</v>
      </c>
      <c r="D11" s="485" t="s">
        <v>677</v>
      </c>
      <c r="E11" s="534" t="s">
        <v>683</v>
      </c>
      <c r="F11" s="565"/>
      <c r="G11" s="547"/>
      <c r="H11" s="624"/>
      <c r="I11" s="625"/>
      <c r="J11" s="1083"/>
      <c r="K11" s="1186"/>
      <c r="L11" s="868"/>
      <c r="M11" s="1364">
        <f>H11+I11-L11</f>
        <v>0</v>
      </c>
      <c r="N11" s="496"/>
      <c r="O11" s="496"/>
      <c r="P11" s="496"/>
      <c r="Q11" s="496"/>
      <c r="R11" s="496"/>
      <c r="S11" s="496"/>
      <c r="T11" s="496"/>
    </row>
    <row r="12" spans="1:20" ht="36.75" hidden="1" customHeight="1" thickBot="1" x14ac:dyDescent="0.3">
      <c r="A12" s="1863" t="s">
        <v>440</v>
      </c>
      <c r="B12" s="1864"/>
      <c r="C12" s="1864"/>
      <c r="D12" s="1864"/>
      <c r="E12" s="1865"/>
      <c r="F12" s="744"/>
      <c r="G12" s="745"/>
      <c r="H12" s="746">
        <f>H14+H13+H15</f>
        <v>0</v>
      </c>
      <c r="I12" s="748">
        <f>I14+I13+I15</f>
        <v>0</v>
      </c>
      <c r="J12" s="871"/>
      <c r="K12" s="871"/>
      <c r="L12" s="860"/>
      <c r="M12" s="860"/>
    </row>
    <row r="13" spans="1:20" s="492" customFormat="1" ht="66" hidden="1" x14ac:dyDescent="0.25">
      <c r="A13" s="1068">
        <v>112</v>
      </c>
      <c r="B13" s="1068">
        <v>212</v>
      </c>
      <c r="C13" s="1068">
        <v>912</v>
      </c>
      <c r="D13" s="556" t="s">
        <v>215</v>
      </c>
      <c r="E13" s="561" t="s">
        <v>740</v>
      </c>
      <c r="F13" s="571"/>
      <c r="G13" s="545" t="e">
        <f t="shared" ref="G13:G15" si="3">(H13+I13)/F13</f>
        <v>#DIV/0!</v>
      </c>
      <c r="H13" s="658"/>
      <c r="I13" s="1085"/>
      <c r="J13" s="1084" t="str">
        <f>D13</f>
        <v>Возмещение работникам (сотрудникам) расходов, связанных со служебными командировками (суточные при служебных командировках)</v>
      </c>
      <c r="K13" s="873"/>
      <c r="L13" s="867"/>
      <c r="M13" s="876">
        <f t="shared" ref="M13:M15" si="4">H13+I13-L13</f>
        <v>0</v>
      </c>
      <c r="N13" s="496"/>
      <c r="O13" s="496"/>
      <c r="P13" s="496"/>
      <c r="Q13" s="496"/>
      <c r="R13" s="496"/>
      <c r="S13" s="496"/>
      <c r="T13" s="496"/>
    </row>
    <row r="14" spans="1:20" s="573" customFormat="1" ht="79.2" hidden="1" x14ac:dyDescent="0.25">
      <c r="A14" s="1062">
        <v>112</v>
      </c>
      <c r="B14" s="1062">
        <v>214</v>
      </c>
      <c r="C14" s="1062">
        <v>921</v>
      </c>
      <c r="D14" s="556" t="s">
        <v>686</v>
      </c>
      <c r="E14" s="591" t="s">
        <v>182</v>
      </c>
      <c r="F14" s="566"/>
      <c r="G14" s="545" t="e">
        <f t="shared" si="3"/>
        <v>#DIV/0!</v>
      </c>
      <c r="H14" s="738">
        <v>0</v>
      </c>
      <c r="I14" s="658">
        <v>0</v>
      </c>
      <c r="J14" s="1060" t="str">
        <f>D14</f>
        <v>Возмещение работникам (сотрудникам) расходов, связанных со служебными командировками (проезд к месту служебной командировки и обратно к месту постоянной работы транспортом общего пользования)</v>
      </c>
      <c r="K14" s="854"/>
      <c r="L14" s="857"/>
      <c r="M14" s="856">
        <f t="shared" si="4"/>
        <v>0</v>
      </c>
      <c r="N14" s="572"/>
      <c r="O14" s="572"/>
      <c r="P14" s="572"/>
      <c r="Q14" s="572"/>
      <c r="R14" s="572"/>
      <c r="S14" s="572"/>
      <c r="T14" s="572"/>
    </row>
    <row r="15" spans="1:20" s="573" customFormat="1" ht="53.4" hidden="1" thickBot="1" x14ac:dyDescent="0.3">
      <c r="A15" s="1062">
        <v>112</v>
      </c>
      <c r="B15" s="1062">
        <v>226</v>
      </c>
      <c r="C15" s="1062">
        <v>952</v>
      </c>
      <c r="D15" s="556" t="s">
        <v>218</v>
      </c>
      <c r="E15" s="591" t="s">
        <v>740</v>
      </c>
      <c r="F15" s="566"/>
      <c r="G15" s="545" t="e">
        <f t="shared" si="3"/>
        <v>#DIV/0!</v>
      </c>
      <c r="H15" s="656"/>
      <c r="I15" s="656"/>
      <c r="J15" s="1063" t="str">
        <f>D15</f>
        <v>Возмещение расходов, связанных со служебными командировками (проживание в служебных командировках)</v>
      </c>
      <c r="K15" s="855"/>
      <c r="L15" s="859"/>
      <c r="M15" s="858">
        <f t="shared" si="4"/>
        <v>0</v>
      </c>
      <c r="N15" s="572"/>
      <c r="O15" s="572"/>
      <c r="P15" s="572"/>
      <c r="Q15" s="572"/>
      <c r="R15" s="572"/>
      <c r="S15" s="572"/>
      <c r="T15" s="572"/>
    </row>
    <row r="16" spans="1:20" s="529" customFormat="1" ht="55.5" hidden="1" customHeight="1" thickBot="1" x14ac:dyDescent="0.3">
      <c r="A16" s="1866" t="s">
        <v>611</v>
      </c>
      <c r="B16" s="1867"/>
      <c r="C16" s="1867"/>
      <c r="D16" s="1867"/>
      <c r="E16" s="1868"/>
      <c r="F16" s="741"/>
      <c r="G16" s="741"/>
      <c r="H16" s="743">
        <f>H17</f>
        <v>0</v>
      </c>
      <c r="I16" s="743">
        <f t="shared" ref="I16:I17" si="5">I17</f>
        <v>0</v>
      </c>
      <c r="J16" s="1848"/>
      <c r="K16" s="1848"/>
      <c r="L16" s="1848"/>
      <c r="M16" s="1848"/>
      <c r="N16" s="866"/>
      <c r="O16" s="528"/>
      <c r="P16" s="528"/>
      <c r="Q16" s="528"/>
      <c r="R16" s="528"/>
      <c r="S16" s="528"/>
      <c r="T16" s="528"/>
    </row>
    <row r="17" spans="1:20" s="573" customFormat="1" ht="145.19999999999999" hidden="1" x14ac:dyDescent="0.25">
      <c r="A17" s="1869">
        <v>113</v>
      </c>
      <c r="B17" s="1870">
        <v>226</v>
      </c>
      <c r="C17" s="1872">
        <v>966</v>
      </c>
      <c r="D17" s="588" t="s">
        <v>226</v>
      </c>
      <c r="E17" s="538"/>
      <c r="F17" s="563"/>
      <c r="G17" s="544"/>
      <c r="H17" s="621">
        <f>H18</f>
        <v>0</v>
      </c>
      <c r="I17" s="1085">
        <f t="shared" si="5"/>
        <v>0</v>
      </c>
      <c r="J17" s="1897" t="str">
        <f>D18</f>
        <v>Расходы на организацию мероприятий</v>
      </c>
      <c r="K17" s="1826"/>
      <c r="L17" s="1829"/>
      <c r="M17" s="1832">
        <f>H17+I17-L17</f>
        <v>0</v>
      </c>
      <c r="N17" s="572"/>
      <c r="O17" s="572"/>
      <c r="P17" s="572"/>
      <c r="Q17" s="572"/>
      <c r="R17" s="572"/>
      <c r="S17" s="572"/>
      <c r="T17" s="572"/>
    </row>
    <row r="18" spans="1:20" s="573" customFormat="1" ht="37.950000000000003" hidden="1" customHeight="1" thickBot="1" x14ac:dyDescent="0.3">
      <c r="A18" s="1869"/>
      <c r="B18" s="1871"/>
      <c r="C18" s="1873"/>
      <c r="D18" s="485" t="s">
        <v>668</v>
      </c>
      <c r="E18" s="534" t="s">
        <v>718</v>
      </c>
      <c r="F18" s="565"/>
      <c r="G18" s="548" t="e">
        <f t="shared" ref="G18" si="6">(H18+I18)/F18</f>
        <v>#DIV/0!</v>
      </c>
      <c r="H18" s="625"/>
      <c r="I18" s="1086"/>
      <c r="J18" s="1898"/>
      <c r="K18" s="1828"/>
      <c r="L18" s="1831"/>
      <c r="M18" s="1834">
        <f t="shared" ref="M18" si="7">H18+I18-L18</f>
        <v>0</v>
      </c>
      <c r="N18" s="572"/>
      <c r="O18" s="572"/>
      <c r="P18" s="572"/>
      <c r="Q18" s="572"/>
      <c r="R18" s="572"/>
      <c r="S18" s="572"/>
      <c r="T18" s="572"/>
    </row>
    <row r="19" spans="1:20" s="493" customFormat="1" ht="44.25" customHeight="1" x14ac:dyDescent="0.25">
      <c r="A19" s="1874" t="s">
        <v>684</v>
      </c>
      <c r="B19" s="1875"/>
      <c r="C19" s="1875"/>
      <c r="D19" s="1875"/>
      <c r="E19" s="1876"/>
      <c r="F19" s="1185"/>
      <c r="G19" s="1185"/>
      <c r="H19" s="749">
        <f>H20</f>
        <v>0</v>
      </c>
      <c r="I19" s="748">
        <f t="shared" ref="I19" si="8">I20</f>
        <v>0</v>
      </c>
      <c r="J19" s="1370"/>
      <c r="K19" s="1379"/>
      <c r="L19" s="1362"/>
      <c r="M19" s="861"/>
      <c r="N19" s="860"/>
      <c r="O19" s="497"/>
      <c r="P19" s="497"/>
      <c r="Q19" s="497"/>
      <c r="R19" s="497"/>
      <c r="S19" s="497"/>
      <c r="T19" s="497"/>
    </row>
    <row r="20" spans="1:20" s="493" customFormat="1" ht="21.6" customHeight="1" thickBot="1" x14ac:dyDescent="0.3">
      <c r="A20" s="561"/>
      <c r="B20" s="537"/>
      <c r="C20" s="561">
        <v>992</v>
      </c>
      <c r="D20" s="540" t="s">
        <v>678</v>
      </c>
      <c r="E20" s="560"/>
      <c r="F20" s="563"/>
      <c r="G20" s="563"/>
      <c r="H20" s="568">
        <f>SUM(H21:H21)</f>
        <v>0</v>
      </c>
      <c r="I20" s="633">
        <f>SUM(I21:I21)</f>
        <v>0</v>
      </c>
      <c r="J20" s="1361"/>
      <c r="K20" s="1363"/>
      <c r="L20" s="1380"/>
      <c r="M20" s="1380"/>
      <c r="N20" s="860"/>
      <c r="O20" s="497"/>
      <c r="P20" s="497"/>
      <c r="Q20" s="497"/>
      <c r="R20" s="497"/>
      <c r="S20" s="497"/>
      <c r="T20" s="497"/>
    </row>
    <row r="21" spans="1:20" s="492" customFormat="1" ht="24" customHeight="1" thickBot="1" x14ac:dyDescent="0.3">
      <c r="A21" s="535">
        <v>119</v>
      </c>
      <c r="B21" s="530">
        <v>213</v>
      </c>
      <c r="C21" s="535">
        <v>992</v>
      </c>
      <c r="D21" s="554" t="s">
        <v>678</v>
      </c>
      <c r="E21" s="531" t="s">
        <v>683</v>
      </c>
      <c r="F21" s="564">
        <v>7</v>
      </c>
      <c r="G21" s="549">
        <f t="shared" ref="G21" si="9">(H21+I21)/F21</f>
        <v>0</v>
      </c>
      <c r="H21" s="546"/>
      <c r="I21" s="623"/>
      <c r="J21" s="1356"/>
      <c r="K21" s="1371" t="s">
        <v>879</v>
      </c>
      <c r="L21" s="1373"/>
      <c r="M21" s="1372">
        <f>H21+I21-L21</f>
        <v>0</v>
      </c>
      <c r="N21" s="864"/>
      <c r="O21" s="496"/>
      <c r="P21" s="496"/>
      <c r="Q21" s="496"/>
      <c r="R21" s="496"/>
      <c r="S21" s="496"/>
      <c r="T21" s="496"/>
    </row>
    <row r="22" spans="1:20" ht="37.5" customHeight="1" x14ac:dyDescent="0.25">
      <c r="A22" s="1874" t="s">
        <v>612</v>
      </c>
      <c r="B22" s="1875"/>
      <c r="C22" s="1875"/>
      <c r="D22" s="1875"/>
      <c r="E22" s="1876"/>
      <c r="F22" s="745"/>
      <c r="G22" s="745"/>
      <c r="H22" s="749">
        <f>H25+H27+H33+H35+H39+H47+H49+H56+H23+H45+H51</f>
        <v>0</v>
      </c>
      <c r="I22" s="749">
        <f>I25+I27+I33+I35+I39+I47+I49+I56+I23+I45+I51</f>
        <v>0</v>
      </c>
      <c r="J22" s="874"/>
      <c r="K22" s="874"/>
      <c r="L22" s="1362"/>
      <c r="M22" s="1362"/>
      <c r="N22" s="865"/>
    </row>
    <row r="23" spans="1:20" s="492" customFormat="1" ht="39" customHeight="1" thickBot="1" x14ac:dyDescent="0.3">
      <c r="A23" s="583">
        <v>244</v>
      </c>
      <c r="B23" s="561">
        <v>228</v>
      </c>
      <c r="C23" s="538">
        <v>922</v>
      </c>
      <c r="D23" s="540" t="s">
        <v>743</v>
      </c>
      <c r="E23" s="538"/>
      <c r="F23" s="814"/>
      <c r="G23" s="563"/>
      <c r="H23" s="815">
        <f>H24</f>
        <v>0</v>
      </c>
      <c r="I23" s="626">
        <f>SUM(I24)</f>
        <v>0</v>
      </c>
      <c r="J23" s="1361"/>
      <c r="K23" s="1363"/>
      <c r="L23" s="1365"/>
      <c r="M23" s="1365"/>
      <c r="N23" s="864"/>
      <c r="O23" s="496"/>
      <c r="P23" s="496"/>
      <c r="Q23" s="496"/>
      <c r="R23" s="496"/>
      <c r="S23" s="496"/>
      <c r="T23" s="496"/>
    </row>
    <row r="24" spans="1:20" s="1247" customFormat="1" ht="40.5" customHeight="1" thickBot="1" x14ac:dyDescent="0.3">
      <c r="A24" s="586"/>
      <c r="B24" s="1231"/>
      <c r="C24" s="534"/>
      <c r="D24" s="813" t="s">
        <v>871</v>
      </c>
      <c r="E24" s="534" t="s">
        <v>370</v>
      </c>
      <c r="F24" s="1244">
        <v>2</v>
      </c>
      <c r="G24" s="565">
        <f t="shared" ref="G24:G26" si="10">(H24+I24)/F24</f>
        <v>0</v>
      </c>
      <c r="H24" s="812"/>
      <c r="I24" s="565"/>
      <c r="J24" s="1355" t="str">
        <f>D24</f>
        <v>Доставка оборудования "Арт-локация"</v>
      </c>
      <c r="K24" s="1357"/>
      <c r="L24" s="1358"/>
      <c r="M24" s="1359">
        <f>H24+I24-L24</f>
        <v>0</v>
      </c>
      <c r="N24" s="1245"/>
      <c r="O24" s="1246"/>
      <c r="P24" s="1246"/>
      <c r="Q24" s="1246"/>
      <c r="R24" s="1246"/>
      <c r="S24" s="1246"/>
      <c r="T24" s="1246"/>
    </row>
    <row r="25" spans="1:20" s="573" customFormat="1" hidden="1" x14ac:dyDescent="0.25">
      <c r="A25" s="790">
        <v>244</v>
      </c>
      <c r="B25" s="791">
        <v>221</v>
      </c>
      <c r="C25" s="790">
        <v>925</v>
      </c>
      <c r="D25" s="715" t="s">
        <v>704</v>
      </c>
      <c r="E25" s="576"/>
      <c r="F25" s="568"/>
      <c r="G25" s="577"/>
      <c r="H25" s="657">
        <f>H26</f>
        <v>0</v>
      </c>
      <c r="I25" s="657">
        <f t="shared" ref="I25" si="11">I26</f>
        <v>0</v>
      </c>
      <c r="J25" s="1904" t="str">
        <f>D25</f>
        <v>Услуги связи</v>
      </c>
      <c r="K25" s="1765"/>
      <c r="L25" s="1901"/>
      <c r="M25" s="1899">
        <f t="shared" ref="M25:M26" si="12">H25+I25-L25</f>
        <v>0</v>
      </c>
      <c r="N25" s="806"/>
      <c r="O25" s="572"/>
      <c r="P25" s="572"/>
      <c r="Q25" s="572"/>
      <c r="R25" s="572"/>
      <c r="S25" s="572"/>
      <c r="T25" s="572"/>
    </row>
    <row r="26" spans="1:20" s="573" customFormat="1" ht="27" hidden="1" thickBot="1" x14ac:dyDescent="0.3">
      <c r="A26" s="536"/>
      <c r="B26" s="533"/>
      <c r="C26" s="536">
        <v>925</v>
      </c>
      <c r="D26" s="559" t="s">
        <v>366</v>
      </c>
      <c r="E26" s="1231" t="s">
        <v>181</v>
      </c>
      <c r="F26" s="574"/>
      <c r="G26" s="549" t="e">
        <f t="shared" si="10"/>
        <v>#DIV/0!</v>
      </c>
      <c r="H26" s="625"/>
      <c r="I26" s="1087"/>
      <c r="J26" s="1905"/>
      <c r="K26" s="1903"/>
      <c r="L26" s="1902"/>
      <c r="M26" s="1900">
        <f t="shared" si="12"/>
        <v>0</v>
      </c>
      <c r="N26" s="806"/>
      <c r="O26" s="572"/>
      <c r="P26" s="572"/>
      <c r="Q26" s="572"/>
      <c r="R26" s="572"/>
      <c r="S26" s="572"/>
      <c r="T26" s="572"/>
    </row>
    <row r="27" spans="1:20" s="573" customFormat="1" ht="26.4" hidden="1" x14ac:dyDescent="0.25">
      <c r="A27" s="561">
        <v>244</v>
      </c>
      <c r="B27" s="538">
        <v>225</v>
      </c>
      <c r="C27" s="561">
        <v>941</v>
      </c>
      <c r="D27" s="558" t="s">
        <v>719</v>
      </c>
      <c r="E27" s="1229"/>
      <c r="F27" s="580"/>
      <c r="G27" s="581"/>
      <c r="H27" s="621">
        <f>SUM(H28:H32)</f>
        <v>0</v>
      </c>
      <c r="I27" s="1085">
        <f t="shared" ref="I27" si="13">SUM(I28:I32)</f>
        <v>0</v>
      </c>
      <c r="J27" s="1235"/>
      <c r="K27" s="1234"/>
      <c r="L27" s="1233"/>
      <c r="M27" s="1232"/>
      <c r="N27" s="806"/>
      <c r="O27" s="572"/>
      <c r="P27" s="572"/>
      <c r="Q27" s="572"/>
      <c r="R27" s="572"/>
      <c r="S27" s="572"/>
      <c r="T27" s="572"/>
    </row>
    <row r="28" spans="1:20" s="573" customFormat="1" hidden="1" x14ac:dyDescent="0.25">
      <c r="A28" s="1230"/>
      <c r="B28" s="531"/>
      <c r="C28" s="1230"/>
      <c r="D28" s="557" t="s">
        <v>377</v>
      </c>
      <c r="E28" s="1230" t="s">
        <v>718</v>
      </c>
      <c r="F28" s="578"/>
      <c r="G28" s="547" t="e">
        <f t="shared" ref="G28:G58" si="14">(H28+I28)/F28</f>
        <v>#DIV/0!</v>
      </c>
      <c r="H28" s="623"/>
      <c r="I28" s="1088"/>
      <c r="J28" s="1237" t="str">
        <f>D28</f>
        <v>Техническое обслуживание  АУТВР</v>
      </c>
      <c r="K28" s="1224"/>
      <c r="L28" s="1239"/>
      <c r="M28" s="1238">
        <f t="shared" ref="M28:M34" si="15">H28+I28-L28</f>
        <v>0</v>
      </c>
      <c r="N28" s="806"/>
      <c r="O28" s="572"/>
      <c r="P28" s="572"/>
      <c r="Q28" s="572"/>
      <c r="R28" s="572"/>
      <c r="S28" s="572"/>
      <c r="T28" s="572"/>
    </row>
    <row r="29" spans="1:20" s="573" customFormat="1" hidden="1" x14ac:dyDescent="0.25">
      <c r="A29" s="1230"/>
      <c r="B29" s="531"/>
      <c r="C29" s="1230"/>
      <c r="D29" s="557" t="s">
        <v>378</v>
      </c>
      <c r="E29" s="1230" t="s">
        <v>718</v>
      </c>
      <c r="F29" s="578"/>
      <c r="G29" s="547" t="e">
        <f t="shared" si="14"/>
        <v>#DIV/0!</v>
      </c>
      <c r="H29" s="623"/>
      <c r="I29" s="1088"/>
      <c r="J29" s="1237" t="str">
        <f t="shared" ref="J29:J32" si="16">D29</f>
        <v>Дератизация и дезинсекция помещений</v>
      </c>
      <c r="K29" s="1224"/>
      <c r="L29" s="1239"/>
      <c r="M29" s="1238">
        <f t="shared" si="15"/>
        <v>0</v>
      </c>
      <c r="N29" s="806"/>
      <c r="O29" s="572"/>
      <c r="P29" s="572"/>
      <c r="Q29" s="572"/>
      <c r="R29" s="572"/>
      <c r="S29" s="572"/>
      <c r="T29" s="572"/>
    </row>
    <row r="30" spans="1:20" s="573" customFormat="1" ht="26.4" hidden="1" x14ac:dyDescent="0.25">
      <c r="A30" s="1230"/>
      <c r="B30" s="531"/>
      <c r="C30" s="1230"/>
      <c r="D30" s="557" t="s">
        <v>379</v>
      </c>
      <c r="E30" s="1230" t="s">
        <v>718</v>
      </c>
      <c r="F30" s="578"/>
      <c r="G30" s="547" t="e">
        <f t="shared" si="14"/>
        <v>#DIV/0!</v>
      </c>
      <c r="H30" s="623"/>
      <c r="I30" s="1088"/>
      <c r="J30" s="1237" t="str">
        <f t="shared" si="16"/>
        <v>Мерзлотно - технический надзор за зданием</v>
      </c>
      <c r="K30" s="1224"/>
      <c r="L30" s="1239"/>
      <c r="M30" s="1238">
        <f t="shared" si="15"/>
        <v>0</v>
      </c>
      <c r="N30" s="806"/>
      <c r="O30" s="572"/>
      <c r="P30" s="572"/>
      <c r="Q30" s="572"/>
      <c r="R30" s="572"/>
      <c r="S30" s="572"/>
      <c r="T30" s="572"/>
    </row>
    <row r="31" spans="1:20" s="573" customFormat="1" hidden="1" x14ac:dyDescent="0.25">
      <c r="A31" s="1230"/>
      <c r="B31" s="531"/>
      <c r="C31" s="1230"/>
      <c r="D31" s="557" t="s">
        <v>396</v>
      </c>
      <c r="E31" s="1230" t="s">
        <v>718</v>
      </c>
      <c r="F31" s="578"/>
      <c r="G31" s="547" t="e">
        <f t="shared" si="14"/>
        <v>#DIV/0!</v>
      </c>
      <c r="H31" s="623"/>
      <c r="I31" s="1088"/>
      <c r="J31" s="1237" t="str">
        <f t="shared" si="16"/>
        <v>Очистка кровель от снега и наледи</v>
      </c>
      <c r="K31" s="1224"/>
      <c r="L31" s="1239"/>
      <c r="M31" s="1238">
        <f t="shared" si="15"/>
        <v>0</v>
      </c>
      <c r="N31" s="806"/>
      <c r="O31" s="572"/>
      <c r="P31" s="572"/>
      <c r="Q31" s="572"/>
      <c r="R31" s="572"/>
      <c r="S31" s="572"/>
      <c r="T31" s="572"/>
    </row>
    <row r="32" spans="1:20" s="573" customFormat="1" ht="13.8" hidden="1" thickBot="1" x14ac:dyDescent="0.3">
      <c r="A32" s="1231"/>
      <c r="B32" s="534"/>
      <c r="C32" s="1231"/>
      <c r="D32" s="559" t="s">
        <v>666</v>
      </c>
      <c r="E32" s="1230" t="s">
        <v>718</v>
      </c>
      <c r="F32" s="574"/>
      <c r="G32" s="547" t="e">
        <f t="shared" si="14"/>
        <v>#DIV/0!</v>
      </c>
      <c r="H32" s="625"/>
      <c r="I32" s="1086"/>
      <c r="J32" s="1242" t="str">
        <f t="shared" si="16"/>
        <v>Поверка средств измерений</v>
      </c>
      <c r="K32" s="1225"/>
      <c r="L32" s="1241"/>
      <c r="M32" s="1240">
        <f t="shared" si="15"/>
        <v>0</v>
      </c>
      <c r="N32" s="806"/>
      <c r="O32" s="572"/>
      <c r="P32" s="572"/>
      <c r="Q32" s="572"/>
      <c r="R32" s="572"/>
      <c r="S32" s="572"/>
      <c r="T32" s="572"/>
    </row>
    <row r="33" spans="1:20" s="573" customFormat="1" ht="13.5" hidden="1" customHeight="1" x14ac:dyDescent="0.25">
      <c r="A33" s="583">
        <v>244</v>
      </c>
      <c r="B33" s="561">
        <v>225</v>
      </c>
      <c r="C33" s="538" t="s">
        <v>720</v>
      </c>
      <c r="D33" s="553" t="s">
        <v>721</v>
      </c>
      <c r="E33" s="532"/>
      <c r="F33" s="584"/>
      <c r="G33" s="585"/>
      <c r="H33" s="621">
        <f>H34</f>
        <v>0</v>
      </c>
      <c r="I33" s="1085">
        <f t="shared" ref="I33" si="17">I34</f>
        <v>0</v>
      </c>
      <c r="J33" s="1904" t="str">
        <f>D34</f>
        <v>Техническое обслуживание ОПС и ППА СОУЭ</v>
      </c>
      <c r="K33" s="1765"/>
      <c r="L33" s="1901"/>
      <c r="M33" s="1899">
        <f t="shared" si="15"/>
        <v>0</v>
      </c>
      <c r="N33" s="572"/>
      <c r="O33" s="572"/>
      <c r="P33" s="572"/>
      <c r="Q33" s="572"/>
      <c r="R33" s="572"/>
      <c r="S33" s="572"/>
      <c r="T33" s="572"/>
    </row>
    <row r="34" spans="1:20" s="573" customFormat="1" ht="27" hidden="1" thickBot="1" x14ac:dyDescent="0.3">
      <c r="A34" s="586"/>
      <c r="B34" s="1231"/>
      <c r="C34" s="534"/>
      <c r="D34" s="485" t="s">
        <v>722</v>
      </c>
      <c r="E34" s="1230" t="s">
        <v>718</v>
      </c>
      <c r="F34" s="565"/>
      <c r="G34" s="548" t="e">
        <f t="shared" si="14"/>
        <v>#DIV/0!</v>
      </c>
      <c r="H34" s="625"/>
      <c r="I34" s="1086"/>
      <c r="J34" s="1908"/>
      <c r="K34" s="1907"/>
      <c r="L34" s="1851"/>
      <c r="M34" s="1906">
        <f t="shared" si="15"/>
        <v>0</v>
      </c>
      <c r="N34" s="572"/>
      <c r="O34" s="572"/>
      <c r="P34" s="572"/>
      <c r="Q34" s="572"/>
      <c r="R34" s="572"/>
      <c r="S34" s="572"/>
      <c r="T34" s="572"/>
    </row>
    <row r="35" spans="1:20" s="573" customFormat="1" ht="52.8" hidden="1" x14ac:dyDescent="0.25">
      <c r="A35" s="583">
        <v>244</v>
      </c>
      <c r="B35" s="561">
        <v>226</v>
      </c>
      <c r="C35" s="538">
        <v>953</v>
      </c>
      <c r="D35" s="553" t="s">
        <v>723</v>
      </c>
      <c r="E35" s="532"/>
      <c r="F35" s="584"/>
      <c r="G35" s="585"/>
      <c r="H35" s="621">
        <f>SUM(H36:H38)</f>
        <v>0</v>
      </c>
      <c r="I35" s="1085">
        <f t="shared" ref="I35" si="18">SUM(I36:I38)</f>
        <v>0</v>
      </c>
      <c r="J35" s="1235"/>
      <c r="K35" s="1234"/>
      <c r="L35" s="853"/>
      <c r="M35" s="852"/>
      <c r="N35" s="806"/>
      <c r="O35" s="572"/>
      <c r="P35" s="572"/>
      <c r="Q35" s="572"/>
      <c r="R35" s="572"/>
      <c r="S35" s="572"/>
      <c r="T35" s="572"/>
    </row>
    <row r="36" spans="1:20" s="573" customFormat="1" hidden="1" x14ac:dyDescent="0.25">
      <c r="A36" s="587"/>
      <c r="B36" s="1230"/>
      <c r="C36" s="531"/>
      <c r="D36" s="554" t="s">
        <v>380</v>
      </c>
      <c r="E36" s="531" t="s">
        <v>178</v>
      </c>
      <c r="F36" s="564"/>
      <c r="G36" s="546" t="e">
        <f t="shared" si="14"/>
        <v>#DIV/0!</v>
      </c>
      <c r="H36" s="623"/>
      <c r="I36" s="1088"/>
      <c r="J36" s="1909" t="s">
        <v>801</v>
      </c>
      <c r="K36" s="1766"/>
      <c r="L36" s="1911"/>
      <c r="M36" s="1910">
        <f>H36+I36+H37+I37-L36</f>
        <v>0</v>
      </c>
      <c r="N36" s="572"/>
      <c r="O36" s="572"/>
      <c r="P36" s="572"/>
      <c r="Q36" s="572"/>
      <c r="R36" s="572"/>
      <c r="S36" s="572"/>
      <c r="T36" s="572"/>
    </row>
    <row r="37" spans="1:20" s="573" customFormat="1" ht="51" hidden="1" customHeight="1" x14ac:dyDescent="0.25">
      <c r="A37" s="587"/>
      <c r="B37" s="1230"/>
      <c r="C37" s="531"/>
      <c r="D37" s="554" t="s">
        <v>671</v>
      </c>
      <c r="E37" s="531" t="s">
        <v>178</v>
      </c>
      <c r="F37" s="564"/>
      <c r="G37" s="546" t="e">
        <f t="shared" si="14"/>
        <v>#DIV/0!</v>
      </c>
      <c r="H37" s="623"/>
      <c r="I37" s="1088"/>
      <c r="J37" s="1909"/>
      <c r="K37" s="1766"/>
      <c r="L37" s="1911"/>
      <c r="M37" s="1910">
        <f t="shared" ref="M37" si="19">H37+I37-L37</f>
        <v>0</v>
      </c>
      <c r="N37" s="572"/>
      <c r="O37" s="572"/>
      <c r="P37" s="572"/>
      <c r="Q37" s="572"/>
      <c r="R37" s="572"/>
      <c r="S37" s="572"/>
      <c r="T37" s="572"/>
    </row>
    <row r="38" spans="1:20" s="573" customFormat="1" ht="13.8" hidden="1" thickBot="1" x14ac:dyDescent="0.3">
      <c r="A38" s="586"/>
      <c r="B38" s="1231"/>
      <c r="C38" s="534"/>
      <c r="D38" s="485" t="s">
        <v>381</v>
      </c>
      <c r="E38" s="534" t="s">
        <v>178</v>
      </c>
      <c r="F38" s="565"/>
      <c r="G38" s="546" t="e">
        <f t="shared" si="14"/>
        <v>#DIV/0!</v>
      </c>
      <c r="H38" s="625"/>
      <c r="I38" s="1086"/>
      <c r="J38" s="1236" t="str">
        <f>D38</f>
        <v>Охрана физическая</v>
      </c>
      <c r="K38" s="1226"/>
      <c r="L38" s="1227"/>
      <c r="M38" s="1228">
        <f>H38+I38-L38</f>
        <v>0</v>
      </c>
      <c r="N38" s="572"/>
      <c r="O38" s="572"/>
      <c r="P38" s="572"/>
      <c r="Q38" s="572"/>
      <c r="R38" s="572"/>
      <c r="S38" s="572"/>
      <c r="T38" s="572"/>
    </row>
    <row r="39" spans="1:20" s="573" customFormat="1" hidden="1" x14ac:dyDescent="0.25">
      <c r="A39" s="583">
        <v>244</v>
      </c>
      <c r="B39" s="561">
        <v>226</v>
      </c>
      <c r="C39" s="538" t="s">
        <v>724</v>
      </c>
      <c r="D39" s="553" t="s">
        <v>725</v>
      </c>
      <c r="E39" s="538"/>
      <c r="F39" s="563"/>
      <c r="G39" s="544"/>
      <c r="H39" s="621">
        <f>SUM(H40:H44)</f>
        <v>0</v>
      </c>
      <c r="I39" s="1085">
        <f>SUM(I40:I44)</f>
        <v>0</v>
      </c>
      <c r="J39" s="1235"/>
      <c r="K39" s="1234"/>
      <c r="L39" s="853"/>
      <c r="M39" s="852"/>
      <c r="N39" s="572"/>
      <c r="O39" s="572"/>
      <c r="P39" s="572"/>
      <c r="Q39" s="572"/>
      <c r="R39" s="572"/>
      <c r="S39" s="572"/>
      <c r="T39" s="572"/>
    </row>
    <row r="40" spans="1:20" s="573" customFormat="1" ht="25.5" hidden="1" customHeight="1" x14ac:dyDescent="0.25">
      <c r="A40" s="587"/>
      <c r="B40" s="1230"/>
      <c r="C40" s="531"/>
      <c r="D40" s="554" t="s">
        <v>804</v>
      </c>
      <c r="E40" s="531" t="s">
        <v>370</v>
      </c>
      <c r="F40" s="564">
        <v>1</v>
      </c>
      <c r="G40" s="546">
        <f t="shared" si="14"/>
        <v>0</v>
      </c>
      <c r="H40" s="623"/>
      <c r="I40" s="1088"/>
      <c r="J40" s="1237" t="str">
        <f t="shared" ref="J40:J44" si="20">D40</f>
        <v>Услуги режиссера -постановщика по проекту "МаскАРаТ"</v>
      </c>
      <c r="K40" s="1224"/>
      <c r="L40" s="1239"/>
      <c r="M40" s="878">
        <f t="shared" ref="M40:M44" si="21">H40+I40-L40</f>
        <v>0</v>
      </c>
      <c r="N40" s="572"/>
      <c r="O40" s="572"/>
      <c r="P40" s="572"/>
      <c r="Q40" s="572"/>
      <c r="R40" s="572"/>
      <c r="S40" s="572"/>
      <c r="T40" s="572"/>
    </row>
    <row r="41" spans="1:20" s="573" customFormat="1" ht="24" hidden="1" customHeight="1" x14ac:dyDescent="0.25">
      <c r="A41" s="587"/>
      <c r="B41" s="1230"/>
      <c r="C41" s="531"/>
      <c r="D41" s="554" t="s">
        <v>805</v>
      </c>
      <c r="E41" s="531" t="s">
        <v>370</v>
      </c>
      <c r="F41" s="564">
        <v>1</v>
      </c>
      <c r="G41" s="546">
        <f t="shared" si="14"/>
        <v>0</v>
      </c>
      <c r="H41" s="623"/>
      <c r="I41" s="1088"/>
      <c r="J41" s="1237" t="str">
        <f t="shared" si="20"/>
        <v>Услуги по мониторингу, подготовке содержательного отчета по проекту "МаскАРаТ"</v>
      </c>
      <c r="K41" s="1224"/>
      <c r="L41" s="1239"/>
      <c r="M41" s="878">
        <f t="shared" si="21"/>
        <v>0</v>
      </c>
      <c r="N41" s="572"/>
      <c r="O41" s="572"/>
      <c r="P41" s="572"/>
      <c r="Q41" s="572"/>
      <c r="R41" s="572"/>
      <c r="S41" s="572"/>
      <c r="T41" s="572"/>
    </row>
    <row r="42" spans="1:20" s="573" customFormat="1" ht="26.25" hidden="1" customHeight="1" x14ac:dyDescent="0.25">
      <c r="A42" s="587"/>
      <c r="B42" s="1230"/>
      <c r="C42" s="531"/>
      <c r="D42" s="554" t="s">
        <v>806</v>
      </c>
      <c r="E42" s="531" t="s">
        <v>370</v>
      </c>
      <c r="F42" s="564">
        <v>1</v>
      </c>
      <c r="G42" s="546">
        <f t="shared" si="14"/>
        <v>0</v>
      </c>
      <c r="H42" s="623"/>
      <c r="I42" s="1088"/>
      <c r="J42" s="1237" t="str">
        <f t="shared" si="20"/>
        <v>Проведение мастер класса по изготовлению кукол из картона по проекту "МаскАРаТ"</v>
      </c>
      <c r="K42" s="1224"/>
      <c r="L42" s="1239"/>
      <c r="M42" s="1238">
        <f t="shared" si="21"/>
        <v>0</v>
      </c>
      <c r="N42" s="572"/>
      <c r="O42" s="572"/>
      <c r="P42" s="572"/>
      <c r="Q42" s="572"/>
      <c r="R42" s="572"/>
      <c r="S42" s="572"/>
      <c r="T42" s="572"/>
    </row>
    <row r="43" spans="1:20" s="573" customFormat="1" ht="26.25" hidden="1" customHeight="1" x14ac:dyDescent="0.25">
      <c r="A43" s="587"/>
      <c r="B43" s="1230"/>
      <c r="C43" s="531"/>
      <c r="D43" s="554" t="s">
        <v>834</v>
      </c>
      <c r="E43" s="531" t="s">
        <v>370</v>
      </c>
      <c r="F43" s="564">
        <v>1</v>
      </c>
      <c r="G43" s="546">
        <f t="shared" si="14"/>
        <v>0</v>
      </c>
      <c r="H43" s="623"/>
      <c r="I43" s="1088"/>
      <c r="J43" s="1237" t="str">
        <f t="shared" si="20"/>
        <v>Расходы на организацию мероприятий по проекту "МаскАРаТ" услуги проживания</v>
      </c>
      <c r="K43" s="1224"/>
      <c r="L43" s="1239"/>
      <c r="M43" s="1238">
        <f t="shared" si="21"/>
        <v>0</v>
      </c>
      <c r="N43" s="572"/>
      <c r="O43" s="572"/>
      <c r="P43" s="572"/>
      <c r="Q43" s="572"/>
      <c r="R43" s="572"/>
      <c r="S43" s="572"/>
      <c r="T43" s="572"/>
    </row>
    <row r="44" spans="1:20" s="573" customFormat="1" ht="25.5" hidden="1" customHeight="1" thickBot="1" x14ac:dyDescent="0.3">
      <c r="A44" s="586"/>
      <c r="B44" s="1231"/>
      <c r="C44" s="534"/>
      <c r="D44" s="485" t="s">
        <v>807</v>
      </c>
      <c r="E44" s="534" t="s">
        <v>370</v>
      </c>
      <c r="F44" s="565">
        <v>2</v>
      </c>
      <c r="G44" s="548">
        <f t="shared" si="14"/>
        <v>0</v>
      </c>
      <c r="H44" s="625"/>
      <c r="I44" s="1086"/>
      <c r="J44" s="1242" t="str">
        <f t="shared" si="20"/>
        <v>Проведение мастер класса по проекту "МаскАРаТ"</v>
      </c>
      <c r="K44" s="1225"/>
      <c r="L44" s="1241"/>
      <c r="M44" s="1240">
        <f t="shared" si="21"/>
        <v>0</v>
      </c>
      <c r="N44" s="572"/>
      <c r="O44" s="572"/>
      <c r="P44" s="572"/>
      <c r="Q44" s="572"/>
      <c r="R44" s="572"/>
      <c r="S44" s="572"/>
      <c r="T44" s="572"/>
    </row>
    <row r="45" spans="1:20" s="573" customFormat="1" ht="27" hidden="1" thickBot="1" x14ac:dyDescent="0.3">
      <c r="A45" s="634">
        <v>244</v>
      </c>
      <c r="B45" s="576">
        <v>226</v>
      </c>
      <c r="C45" s="537">
        <v>955</v>
      </c>
      <c r="D45" s="582" t="s">
        <v>748</v>
      </c>
      <c r="E45" s="531"/>
      <c r="F45" s="564"/>
      <c r="G45" s="547"/>
      <c r="H45" s="577">
        <f>H46</f>
        <v>0</v>
      </c>
      <c r="I45" s="577">
        <f>I46</f>
        <v>0</v>
      </c>
      <c r="K45" s="1343"/>
      <c r="L45" s="1382"/>
      <c r="M45" s="1382"/>
      <c r="N45" s="806"/>
      <c r="O45" s="572"/>
      <c r="P45" s="572"/>
      <c r="Q45" s="572"/>
      <c r="R45" s="572"/>
      <c r="S45" s="572"/>
      <c r="T45" s="572"/>
    </row>
    <row r="46" spans="1:20" s="573" customFormat="1" ht="27" hidden="1" thickBot="1" x14ac:dyDescent="0.3">
      <c r="A46" s="587"/>
      <c r="B46" s="1230"/>
      <c r="C46" s="531"/>
      <c r="D46" s="485" t="s">
        <v>872</v>
      </c>
      <c r="E46" s="534" t="s">
        <v>370</v>
      </c>
      <c r="F46" s="564">
        <v>7</v>
      </c>
      <c r="G46" s="549">
        <f t="shared" si="14"/>
        <v>0</v>
      </c>
      <c r="H46" s="623"/>
      <c r="I46" s="1088"/>
      <c r="J46" s="1302" t="str">
        <f>D45</f>
        <v>Вознаграждение по договорам ГПХ с учетом СВ</v>
      </c>
      <c r="K46" s="1094"/>
      <c r="L46" s="1381"/>
      <c r="M46" s="1320">
        <f>H46-L46</f>
        <v>0</v>
      </c>
      <c r="N46" s="572"/>
      <c r="O46" s="572"/>
      <c r="P46" s="572"/>
      <c r="Q46" s="572"/>
      <c r="R46" s="572"/>
      <c r="S46" s="572"/>
      <c r="T46" s="572"/>
    </row>
    <row r="47" spans="1:20" s="573" customFormat="1" ht="38.25" hidden="1" customHeight="1" x14ac:dyDescent="0.25">
      <c r="A47" s="583">
        <v>244</v>
      </c>
      <c r="B47" s="561" t="s">
        <v>728</v>
      </c>
      <c r="C47" s="538" t="s">
        <v>726</v>
      </c>
      <c r="D47" s="553" t="s">
        <v>727</v>
      </c>
      <c r="E47" s="538"/>
      <c r="F47" s="563"/>
      <c r="G47" s="544"/>
      <c r="H47" s="621">
        <f>SUM(H48:H48)</f>
        <v>0</v>
      </c>
      <c r="I47" s="1085">
        <f>SUM(I48:I48)</f>
        <v>0</v>
      </c>
      <c r="J47" s="1235"/>
      <c r="K47" s="1234"/>
      <c r="L47" s="1233"/>
      <c r="M47" s="1232"/>
      <c r="N47" s="572"/>
      <c r="O47" s="572"/>
      <c r="P47" s="572"/>
      <c r="Q47" s="572"/>
      <c r="R47" s="572"/>
      <c r="S47" s="572"/>
      <c r="T47" s="572"/>
    </row>
    <row r="48" spans="1:20" s="573" customFormat="1" ht="27" hidden="1" thickBot="1" x14ac:dyDescent="0.3">
      <c r="A48" s="587"/>
      <c r="B48" s="1230"/>
      <c r="C48" s="531"/>
      <c r="D48" s="554" t="s">
        <v>816</v>
      </c>
      <c r="E48" s="531" t="s">
        <v>718</v>
      </c>
      <c r="F48" s="808">
        <v>1</v>
      </c>
      <c r="G48" s="547">
        <f t="shared" si="14"/>
        <v>0</v>
      </c>
      <c r="H48" s="809"/>
      <c r="I48" s="809"/>
      <c r="J48" s="1236" t="str">
        <f>D48</f>
        <v>Сувенирная продукция по проекту "МаскАРаТ"</v>
      </c>
      <c r="K48" s="1226"/>
      <c r="L48" s="1227"/>
      <c r="M48" s="1228">
        <f t="shared" ref="M48:M50" si="22">H48+I48-L48</f>
        <v>0</v>
      </c>
      <c r="N48" s="572"/>
      <c r="O48" s="572"/>
      <c r="P48" s="572"/>
      <c r="Q48" s="572"/>
      <c r="R48" s="572"/>
      <c r="S48" s="572"/>
      <c r="T48" s="572"/>
    </row>
    <row r="49" spans="1:20" s="573" customFormat="1" ht="105" hidden="1" customHeight="1" x14ac:dyDescent="0.25">
      <c r="A49" s="1914">
        <v>244</v>
      </c>
      <c r="B49" s="1914">
        <v>226</v>
      </c>
      <c r="C49" s="1869">
        <v>966</v>
      </c>
      <c r="D49" s="588" t="s">
        <v>226</v>
      </c>
      <c r="E49" s="532"/>
      <c r="F49" s="584"/>
      <c r="G49" s="585"/>
      <c r="H49" s="621">
        <f>SUM(H50:H50)</f>
        <v>0</v>
      </c>
      <c r="I49" s="1085">
        <f>SUM(I50:I50)</f>
        <v>0</v>
      </c>
      <c r="J49" s="1904" t="str">
        <f>D49</f>
        <v>Выплата суточных, а также денежных средств на питание (при невозможности приобретения услуг по его организации), а также компенсация расходов на проезд и проживание в жилых помещениях (найм жилого помещения) спортсменам и студентам при их направлении на различного рода мероприятия (соревнования, олимпиады, учебную практику и иные мероприятия) и приглашенным лицам</v>
      </c>
      <c r="K49" s="1765"/>
      <c r="L49" s="1901"/>
      <c r="M49" s="1899">
        <f>H49+I49-L49</f>
        <v>0</v>
      </c>
      <c r="N49" s="572"/>
      <c r="O49" s="572"/>
      <c r="P49" s="572"/>
      <c r="Q49" s="572"/>
      <c r="R49" s="572"/>
      <c r="S49" s="572"/>
      <c r="T49" s="572"/>
    </row>
    <row r="50" spans="1:20" s="573" customFormat="1" ht="29.4" hidden="1" customHeight="1" thickBot="1" x14ac:dyDescent="0.3">
      <c r="A50" s="1914"/>
      <c r="B50" s="1914"/>
      <c r="C50" s="1869"/>
      <c r="D50" s="839" t="s">
        <v>808</v>
      </c>
      <c r="E50" s="534" t="s">
        <v>182</v>
      </c>
      <c r="F50" s="565">
        <v>1</v>
      </c>
      <c r="G50" s="548">
        <f t="shared" si="14"/>
        <v>0</v>
      </c>
      <c r="H50" s="549"/>
      <c r="I50" s="1089"/>
      <c r="J50" s="1908"/>
      <c r="K50" s="1907"/>
      <c r="L50" s="1851"/>
      <c r="M50" s="1906">
        <f t="shared" si="22"/>
        <v>0</v>
      </c>
      <c r="N50" s="572"/>
      <c r="O50" s="572"/>
      <c r="P50" s="572"/>
      <c r="Q50" s="572"/>
      <c r="R50" s="572"/>
      <c r="S50" s="572"/>
      <c r="T50" s="572"/>
    </row>
    <row r="51" spans="1:20" s="573" customFormat="1" ht="13.8" hidden="1" thickBot="1" x14ac:dyDescent="0.3">
      <c r="A51" s="1243">
        <v>244</v>
      </c>
      <c r="B51" s="1243">
        <v>310</v>
      </c>
      <c r="C51" s="723">
        <v>971</v>
      </c>
      <c r="D51" s="558" t="s">
        <v>747</v>
      </c>
      <c r="E51" s="1229"/>
      <c r="F51" s="1024"/>
      <c r="G51" s="585"/>
      <c r="H51" s="545">
        <f>SUM(H52:H55)</f>
        <v>0</v>
      </c>
      <c r="I51" s="577">
        <f>SUM(I52:I55)</f>
        <v>0</v>
      </c>
      <c r="J51" s="1366"/>
      <c r="K51" s="1350"/>
      <c r="L51" s="1367"/>
      <c r="M51" s="1367"/>
      <c r="N51" s="806"/>
      <c r="O51" s="572"/>
      <c r="P51" s="572"/>
      <c r="Q51" s="572"/>
      <c r="R51" s="572"/>
      <c r="S51" s="572"/>
      <c r="T51" s="572"/>
    </row>
    <row r="52" spans="1:20" s="573" customFormat="1" ht="27" hidden="1" thickBot="1" x14ac:dyDescent="0.3">
      <c r="A52" s="536"/>
      <c r="B52" s="536"/>
      <c r="C52" s="1248"/>
      <c r="D52" s="559" t="s">
        <v>873</v>
      </c>
      <c r="E52" s="1231" t="s">
        <v>809</v>
      </c>
      <c r="F52" s="812">
        <v>24</v>
      </c>
      <c r="G52" s="548">
        <f t="shared" si="14"/>
        <v>0</v>
      </c>
      <c r="H52" s="549"/>
      <c r="I52" s="809"/>
      <c r="J52" s="1324" t="str">
        <f t="shared" ref="J52:J55" si="23">D52</f>
        <v>Оборудование для организации работы по проекту "Арт-локация"</v>
      </c>
      <c r="K52" s="1310"/>
      <c r="L52" s="1323"/>
      <c r="M52" s="1322">
        <f t="shared" ref="M52:M55" si="24">H52+I52-L52</f>
        <v>0</v>
      </c>
      <c r="N52" s="572"/>
      <c r="O52" s="572"/>
      <c r="P52" s="572"/>
      <c r="Q52" s="572"/>
      <c r="R52" s="572"/>
      <c r="S52" s="572"/>
      <c r="T52" s="572"/>
    </row>
    <row r="53" spans="1:20" s="573" customFormat="1" hidden="1" x14ac:dyDescent="0.25">
      <c r="A53" s="535"/>
      <c r="B53" s="535"/>
      <c r="C53" s="810"/>
      <c r="D53" s="557" t="s">
        <v>810</v>
      </c>
      <c r="E53" s="1230" t="s">
        <v>809</v>
      </c>
      <c r="F53" s="725">
        <v>4</v>
      </c>
      <c r="G53" s="546">
        <f t="shared" si="14"/>
        <v>0</v>
      </c>
      <c r="H53" s="547"/>
      <c r="I53" s="809"/>
      <c r="J53" s="1237" t="str">
        <f t="shared" si="23"/>
        <v>Стойка штатив  по проекту "МаскАРаТ"</v>
      </c>
      <c r="K53" s="1224"/>
      <c r="L53" s="1239"/>
      <c r="M53" s="1238">
        <f t="shared" si="24"/>
        <v>0</v>
      </c>
      <c r="N53" s="572"/>
      <c r="O53" s="572"/>
      <c r="P53" s="572"/>
      <c r="Q53" s="572"/>
      <c r="R53" s="572"/>
      <c r="S53" s="572"/>
      <c r="T53" s="572"/>
    </row>
    <row r="54" spans="1:20" s="573" customFormat="1" hidden="1" x14ac:dyDescent="0.25">
      <c r="A54" s="535"/>
      <c r="B54" s="535"/>
      <c r="C54" s="810"/>
      <c r="D54" s="557" t="s">
        <v>811</v>
      </c>
      <c r="E54" s="1230" t="s">
        <v>809</v>
      </c>
      <c r="F54" s="725">
        <v>1</v>
      </c>
      <c r="G54" s="546">
        <f t="shared" si="14"/>
        <v>0</v>
      </c>
      <c r="H54" s="547"/>
      <c r="I54" s="809"/>
      <c r="J54" s="1237" t="str">
        <f t="shared" si="23"/>
        <v>Диско шар  по проекту "МаскАРаТ"</v>
      </c>
      <c r="K54" s="1224"/>
      <c r="L54" s="1239"/>
      <c r="M54" s="1238">
        <f t="shared" si="24"/>
        <v>0</v>
      </c>
      <c r="N54" s="572"/>
      <c r="O54" s="572"/>
      <c r="P54" s="572"/>
      <c r="Q54" s="572"/>
      <c r="R54" s="572"/>
      <c r="S54" s="572"/>
      <c r="T54" s="572"/>
    </row>
    <row r="55" spans="1:20" s="573" customFormat="1" ht="13.8" hidden="1" thickBot="1" x14ac:dyDescent="0.3">
      <c r="A55" s="535"/>
      <c r="B55" s="535"/>
      <c r="C55" s="810"/>
      <c r="D55" s="811" t="s">
        <v>812</v>
      </c>
      <c r="E55" s="1231" t="s">
        <v>809</v>
      </c>
      <c r="F55" s="812">
        <v>15</v>
      </c>
      <c r="G55" s="548">
        <f t="shared" si="14"/>
        <v>0</v>
      </c>
      <c r="H55" s="549"/>
      <c r="I55" s="1089"/>
      <c r="J55" s="1236" t="str">
        <f t="shared" si="23"/>
        <v>Светильники по проекту "МаскАРаТ"</v>
      </c>
      <c r="K55" s="1226"/>
      <c r="L55" s="1227"/>
      <c r="M55" s="1228">
        <f t="shared" si="24"/>
        <v>0</v>
      </c>
      <c r="N55" s="572"/>
      <c r="O55" s="572"/>
      <c r="P55" s="572"/>
      <c r="Q55" s="572"/>
      <c r="R55" s="572"/>
      <c r="S55" s="572"/>
      <c r="T55" s="572"/>
    </row>
    <row r="56" spans="1:20" s="573" customFormat="1" ht="12.75" hidden="1" customHeight="1" thickBot="1" x14ac:dyDescent="0.3">
      <c r="A56" s="583">
        <v>244</v>
      </c>
      <c r="B56" s="561">
        <v>346</v>
      </c>
      <c r="C56" s="538" t="s">
        <v>729</v>
      </c>
      <c r="D56" s="582" t="s">
        <v>730</v>
      </c>
      <c r="E56" s="531"/>
      <c r="F56" s="564"/>
      <c r="G56" s="546"/>
      <c r="H56" s="657">
        <f>H57</f>
        <v>0</v>
      </c>
      <c r="I56" s="1090">
        <f>SUM(I57:I58)</f>
        <v>0</v>
      </c>
      <c r="J56" s="1366"/>
      <c r="K56" s="1350"/>
      <c r="L56" s="1367"/>
      <c r="M56" s="1367"/>
      <c r="N56" s="806"/>
      <c r="O56" s="806"/>
      <c r="P56" s="572"/>
      <c r="Q56" s="572"/>
      <c r="R56" s="572"/>
      <c r="S56" s="572"/>
      <c r="T56" s="572"/>
    </row>
    <row r="57" spans="1:20" s="573" customFormat="1" ht="13.8" hidden="1" thickBot="1" x14ac:dyDescent="0.3">
      <c r="A57" s="634"/>
      <c r="B57" s="576"/>
      <c r="C57" s="537"/>
      <c r="D57" s="554" t="s">
        <v>874</v>
      </c>
      <c r="E57" s="531" t="s">
        <v>718</v>
      </c>
      <c r="F57" s="564">
        <v>1</v>
      </c>
      <c r="G57" s="546"/>
      <c r="H57" s="547"/>
      <c r="I57" s="809"/>
      <c r="J57" s="1324" t="str">
        <f>D57</f>
        <v>Расходные материалы "Арт-локация"</v>
      </c>
      <c r="K57" s="1206"/>
      <c r="L57" s="1369"/>
      <c r="M57" s="1368">
        <f t="shared" ref="M57:M58" si="25">H57+I57-L57</f>
        <v>0</v>
      </c>
      <c r="N57" s="806"/>
      <c r="O57" s="806"/>
      <c r="P57" s="572"/>
      <c r="Q57" s="572"/>
      <c r="R57" s="572"/>
      <c r="S57" s="572"/>
      <c r="T57" s="572"/>
    </row>
    <row r="58" spans="1:20" s="573" customFormat="1" ht="18.75" hidden="1" customHeight="1" thickBot="1" x14ac:dyDescent="0.3">
      <c r="A58" s="586"/>
      <c r="B58" s="1065"/>
      <c r="C58" s="534"/>
      <c r="D58" s="485" t="s">
        <v>818</v>
      </c>
      <c r="E58" s="534" t="s">
        <v>718</v>
      </c>
      <c r="F58" s="565">
        <v>1</v>
      </c>
      <c r="G58" s="548">
        <f t="shared" si="14"/>
        <v>0</v>
      </c>
      <c r="H58" s="625"/>
      <c r="I58" s="1086"/>
      <c r="J58" s="1063" t="str">
        <f>D58</f>
        <v>Расходы на организацию мероприятий по "МаскАРаТ"</v>
      </c>
      <c r="K58" s="1317"/>
      <c r="L58" s="1315"/>
      <c r="M58" s="1316">
        <f t="shared" si="25"/>
        <v>0</v>
      </c>
      <c r="N58" s="806"/>
      <c r="O58" s="806"/>
      <c r="P58" s="572"/>
      <c r="Q58" s="572"/>
      <c r="R58" s="572"/>
      <c r="S58" s="572"/>
      <c r="T58" s="572"/>
    </row>
    <row r="59" spans="1:20" s="492" customFormat="1" x14ac:dyDescent="0.25">
      <c r="A59" s="752"/>
      <c r="B59" s="752"/>
      <c r="C59" s="752"/>
      <c r="D59" s="753" t="s">
        <v>8</v>
      </c>
      <c r="E59" s="754"/>
      <c r="F59" s="755"/>
      <c r="G59" s="756"/>
      <c r="H59" s="756">
        <f>H22+H19+H16+H12+H8</f>
        <v>0</v>
      </c>
      <c r="I59" s="756">
        <f>I22+I19+I16+I12+I8</f>
        <v>0</v>
      </c>
      <c r="J59" s="1370"/>
      <c r="K59" s="874"/>
      <c r="L59" s="860"/>
      <c r="M59" s="860"/>
      <c r="N59" s="864"/>
      <c r="O59" s="864"/>
      <c r="P59" s="496"/>
      <c r="Q59" s="496"/>
      <c r="R59" s="496"/>
      <c r="S59" s="496"/>
      <c r="T59" s="496"/>
    </row>
    <row r="60" spans="1:20" ht="14.25" customHeight="1" x14ac:dyDescent="0.25">
      <c r="E60" s="643"/>
      <c r="H60" s="654">
        <f>'постуления 820 26-28'!H10</f>
        <v>0</v>
      </c>
      <c r="I60" s="654"/>
      <c r="J60" s="875"/>
      <c r="K60" s="875"/>
      <c r="L60" s="879"/>
      <c r="M60" s="879"/>
      <c r="N60" s="865"/>
      <c r="O60" s="865"/>
    </row>
    <row r="61" spans="1:20" ht="14.25" customHeight="1" x14ac:dyDescent="0.25">
      <c r="A61" s="1913" t="s">
        <v>128</v>
      </c>
      <c r="B61" s="1913"/>
      <c r="C61" s="1913"/>
      <c r="D61" s="1913"/>
      <c r="E61" s="643"/>
      <c r="H61" s="654">
        <f>H60-H59</f>
        <v>0</v>
      </c>
      <c r="I61" s="654">
        <f>I60-I59</f>
        <v>0</v>
      </c>
      <c r="J61" s="875"/>
      <c r="K61" s="875"/>
      <c r="L61" s="879"/>
      <c r="M61" s="879"/>
      <c r="N61" s="865"/>
      <c r="O61" s="865"/>
    </row>
    <row r="62" spans="1:20" ht="18" customHeight="1" x14ac:dyDescent="0.25">
      <c r="A62" s="1913" t="s">
        <v>894</v>
      </c>
      <c r="B62" s="1913"/>
      <c r="C62" s="1913"/>
      <c r="D62" s="1913"/>
      <c r="J62" s="875"/>
      <c r="K62" s="875"/>
      <c r="L62" s="879"/>
      <c r="M62" s="879"/>
      <c r="N62" s="865"/>
      <c r="O62" s="865"/>
    </row>
    <row r="63" spans="1:20" x14ac:dyDescent="0.25">
      <c r="J63" s="875"/>
      <c r="K63" s="875"/>
      <c r="L63" s="879"/>
      <c r="M63" s="879"/>
      <c r="N63" s="865"/>
      <c r="O63" s="865"/>
    </row>
    <row r="64" spans="1:20" ht="13.95" customHeight="1" x14ac:dyDescent="0.25">
      <c r="A64" s="483" t="s">
        <v>875</v>
      </c>
      <c r="J64" s="875"/>
      <c r="K64" s="875"/>
      <c r="L64" s="879"/>
      <c r="M64" s="879"/>
      <c r="N64" s="865"/>
      <c r="O64" s="865"/>
    </row>
    <row r="65" spans="1:4" ht="57" customHeight="1" x14ac:dyDescent="0.25">
      <c r="A65" s="1912"/>
      <c r="B65" s="1744"/>
      <c r="C65" s="1744"/>
      <c r="D65" s="1744"/>
    </row>
    <row r="66" spans="1:4" ht="15.6" x14ac:dyDescent="0.25">
      <c r="A66" s="1184"/>
    </row>
    <row r="67" spans="1:4" ht="19.95" customHeight="1" x14ac:dyDescent="0.25">
      <c r="A67" s="1184"/>
    </row>
    <row r="68" spans="1:4" ht="19.95" customHeight="1" x14ac:dyDescent="0.25">
      <c r="A68" s="1184"/>
    </row>
    <row r="69" spans="1:4" ht="15.6" x14ac:dyDescent="0.25">
      <c r="A69" s="1184"/>
    </row>
    <row r="75" spans="1:4" x14ac:dyDescent="0.25">
      <c r="A75" s="863"/>
      <c r="B75" s="863"/>
    </row>
    <row r="76" spans="1:4" x14ac:dyDescent="0.25">
      <c r="A76" s="863"/>
      <c r="B76" s="863"/>
    </row>
    <row r="77" spans="1:4" x14ac:dyDescent="0.25">
      <c r="A77" s="863"/>
      <c r="B77" s="863"/>
    </row>
    <row r="78" spans="1:4" x14ac:dyDescent="0.25">
      <c r="A78" s="863"/>
      <c r="B78" s="863"/>
    </row>
    <row r="79" spans="1:4" x14ac:dyDescent="0.25">
      <c r="A79" s="832"/>
    </row>
    <row r="191" spans="25:25" x14ac:dyDescent="0.25">
      <c r="Y191">
        <f>W191*X191</f>
        <v>0</v>
      </c>
    </row>
  </sheetData>
  <mergeCells count="53">
    <mergeCell ref="A65:D65"/>
    <mergeCell ref="M49:M50"/>
    <mergeCell ref="L49:L50"/>
    <mergeCell ref="K49:K50"/>
    <mergeCell ref="J49:J50"/>
    <mergeCell ref="A61:D61"/>
    <mergeCell ref="A62:D62"/>
    <mergeCell ref="A49:A50"/>
    <mergeCell ref="B49:B50"/>
    <mergeCell ref="C49:C50"/>
    <mergeCell ref="M33:M34"/>
    <mergeCell ref="L33:L34"/>
    <mergeCell ref="K33:K34"/>
    <mergeCell ref="J33:J34"/>
    <mergeCell ref="J36:J37"/>
    <mergeCell ref="M36:M37"/>
    <mergeCell ref="L36:L37"/>
    <mergeCell ref="K36:K37"/>
    <mergeCell ref="M17:M18"/>
    <mergeCell ref="L17:L18"/>
    <mergeCell ref="K17:K18"/>
    <mergeCell ref="J17:J18"/>
    <mergeCell ref="M25:M26"/>
    <mergeCell ref="L25:L26"/>
    <mergeCell ref="K25:K26"/>
    <mergeCell ref="J25:J26"/>
    <mergeCell ref="M4:M7"/>
    <mergeCell ref="L4:L7"/>
    <mergeCell ref="K4:K7"/>
    <mergeCell ref="J4:J7"/>
    <mergeCell ref="J16:M16"/>
    <mergeCell ref="A22:E22"/>
    <mergeCell ref="H6:H7"/>
    <mergeCell ref="I6:I7"/>
    <mergeCell ref="A8:E8"/>
    <mergeCell ref="A19:E19"/>
    <mergeCell ref="A4:A7"/>
    <mergeCell ref="B4:B7"/>
    <mergeCell ref="C4:C7"/>
    <mergeCell ref="D4:D7"/>
    <mergeCell ref="E4:E7"/>
    <mergeCell ref="F4:I4"/>
    <mergeCell ref="F5:F7"/>
    <mergeCell ref="G5:G7"/>
    <mergeCell ref="H5:I5"/>
    <mergeCell ref="A1:I1"/>
    <mergeCell ref="A3:I3"/>
    <mergeCell ref="A12:E12"/>
    <mergeCell ref="A16:E16"/>
    <mergeCell ref="A17:A18"/>
    <mergeCell ref="B17:B18"/>
    <mergeCell ref="C17:C18"/>
    <mergeCell ref="A2:I2"/>
  </mergeCells>
  <pageMargins left="1.1811023622047245" right="0.70866141732283472" top="0.74803149606299213" bottom="0.74803149606299213" header="0.31496062992125984" footer="0.31496062992125984"/>
  <pageSetup paperSize="9" scale="7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193"/>
  <sheetViews>
    <sheetView view="pageBreakPreview" zoomScale="70" zoomScaleNormal="100" zoomScaleSheetLayoutView="70" workbookViewId="0">
      <pane xSplit="5" ySplit="8" topLeftCell="F53" activePane="bottomRight" state="frozen"/>
      <selection pane="topRight" activeCell="F1" sqref="F1"/>
      <selection pane="bottomLeft" activeCell="A10" sqref="A10"/>
      <selection pane="bottomRight" activeCell="A2" sqref="A2:Q2"/>
    </sheetView>
  </sheetViews>
  <sheetFormatPr defaultColWidth="9.33203125" defaultRowHeight="13.2" x14ac:dyDescent="0.25"/>
  <cols>
    <col min="1" max="1" width="12" style="784" customWidth="1"/>
    <col min="2" max="3" width="9.33203125" style="784"/>
    <col min="4" max="4" width="51.109375" style="785" customWidth="1"/>
    <col min="5" max="5" width="8.77734375" style="786" customWidth="1"/>
    <col min="6" max="6" width="12" style="787" customWidth="1"/>
    <col min="7" max="8" width="22" style="788" customWidth="1"/>
    <col min="9" max="9" width="21.6640625" style="788" customWidth="1"/>
    <col min="10" max="11" width="19" style="788" customWidth="1"/>
    <col min="12" max="12" width="11.33203125" style="788" customWidth="1"/>
    <col min="13" max="13" width="15.77734375" style="788" customWidth="1"/>
    <col min="14" max="14" width="25.33203125" style="788" customWidth="1"/>
    <col min="15" max="15" width="21.6640625" style="788" customWidth="1"/>
    <col min="16" max="17" width="19.109375" style="788" customWidth="1"/>
    <col min="18" max="22" width="9.33203125" style="528"/>
    <col min="23" max="16384" width="9.33203125" style="529"/>
  </cols>
  <sheetData>
    <row r="1" spans="1:22" ht="16.8" x14ac:dyDescent="0.25">
      <c r="A1" s="1812" t="s">
        <v>917</v>
      </c>
      <c r="B1" s="1812"/>
      <c r="C1" s="1812"/>
      <c r="D1" s="1812"/>
      <c r="E1" s="1812"/>
      <c r="F1" s="1812"/>
      <c r="G1" s="1812"/>
      <c r="H1" s="1812"/>
      <c r="I1" s="1812"/>
      <c r="J1" s="1812"/>
      <c r="K1" s="1812"/>
      <c r="L1" s="1812"/>
      <c r="M1" s="1812"/>
      <c r="N1" s="1812"/>
      <c r="O1" s="1812"/>
      <c r="P1" s="1812"/>
      <c r="Q1" s="1812"/>
    </row>
    <row r="2" spans="1:22" ht="16.8" x14ac:dyDescent="0.25">
      <c r="A2" s="1812" t="s">
        <v>774</v>
      </c>
      <c r="B2" s="1812"/>
      <c r="C2" s="1812"/>
      <c r="D2" s="1812"/>
      <c r="E2" s="1812"/>
      <c r="F2" s="1812"/>
      <c r="G2" s="1812"/>
      <c r="H2" s="1812"/>
      <c r="I2" s="1812"/>
      <c r="J2" s="1812"/>
      <c r="K2" s="1812"/>
      <c r="L2" s="1812"/>
      <c r="M2" s="1812"/>
      <c r="N2" s="1812"/>
      <c r="O2" s="1812"/>
      <c r="P2" s="1812"/>
      <c r="Q2" s="1812"/>
    </row>
    <row r="3" spans="1:22" ht="15.6" x14ac:dyDescent="0.25">
      <c r="A3" s="1746" t="s">
        <v>775</v>
      </c>
      <c r="B3" s="1746"/>
      <c r="C3" s="1746"/>
      <c r="D3" s="1746"/>
      <c r="E3" s="1746"/>
      <c r="F3" s="1746"/>
      <c r="G3" s="1746"/>
      <c r="H3" s="1746"/>
      <c r="I3" s="1746"/>
      <c r="J3" s="1746"/>
      <c r="K3" s="1264"/>
      <c r="L3" s="1041"/>
      <c r="M3" s="1041"/>
      <c r="N3" s="907"/>
      <c r="O3" s="907"/>
      <c r="P3" s="907"/>
      <c r="Q3" s="1264"/>
    </row>
    <row r="4" spans="1:22" s="573" customFormat="1" ht="18.600000000000001" customHeight="1" x14ac:dyDescent="0.25">
      <c r="A4" s="1747" t="s">
        <v>621</v>
      </c>
      <c r="B4" s="1747" t="s">
        <v>332</v>
      </c>
      <c r="C4" s="1747" t="s">
        <v>676</v>
      </c>
      <c r="D4" s="1748" t="s">
        <v>175</v>
      </c>
      <c r="E4" s="1748" t="s">
        <v>180</v>
      </c>
      <c r="F4" s="1841" t="s">
        <v>842</v>
      </c>
      <c r="G4" s="1842"/>
      <c r="H4" s="1842"/>
      <c r="I4" s="1842"/>
      <c r="J4" s="1842"/>
      <c r="K4" s="1843"/>
      <c r="L4" s="1403"/>
      <c r="M4" s="1403"/>
      <c r="N4" s="1841" t="s">
        <v>885</v>
      </c>
      <c r="O4" s="1842"/>
      <c r="P4" s="1842"/>
      <c r="Q4" s="1842"/>
      <c r="R4" s="572"/>
      <c r="S4" s="572"/>
      <c r="T4" s="572"/>
      <c r="U4" s="572"/>
      <c r="V4" s="572"/>
    </row>
    <row r="5" spans="1:22" s="573" customFormat="1" ht="25.5" customHeight="1" x14ac:dyDescent="0.25">
      <c r="A5" s="1747"/>
      <c r="B5" s="1747"/>
      <c r="C5" s="1747"/>
      <c r="D5" s="1748"/>
      <c r="E5" s="1748"/>
      <c r="F5" s="1749" t="s">
        <v>682</v>
      </c>
      <c r="G5" s="1749" t="s">
        <v>679</v>
      </c>
      <c r="H5" s="1792" t="s">
        <v>685</v>
      </c>
      <c r="I5" s="1793"/>
      <c r="J5" s="1793"/>
      <c r="K5" s="1794"/>
      <c r="L5" s="1749" t="s">
        <v>682</v>
      </c>
      <c r="M5" s="1749" t="s">
        <v>679</v>
      </c>
      <c r="N5" s="1792" t="s">
        <v>685</v>
      </c>
      <c r="O5" s="1793"/>
      <c r="P5" s="1793"/>
      <c r="Q5" s="1793"/>
      <c r="R5" s="572"/>
      <c r="S5" s="572"/>
      <c r="T5" s="572"/>
      <c r="U5" s="572"/>
      <c r="V5" s="572"/>
    </row>
    <row r="6" spans="1:22" s="573" customFormat="1" ht="25.5" customHeight="1" x14ac:dyDescent="0.25">
      <c r="A6" s="1747"/>
      <c r="B6" s="1747"/>
      <c r="C6" s="1747"/>
      <c r="D6" s="1748"/>
      <c r="E6" s="1748"/>
      <c r="F6" s="1749"/>
      <c r="G6" s="1749"/>
      <c r="H6" s="1782" t="s">
        <v>702</v>
      </c>
      <c r="I6" s="1924" t="s">
        <v>681</v>
      </c>
      <c r="J6" s="1925"/>
      <c r="K6" s="1926"/>
      <c r="L6" s="1749"/>
      <c r="M6" s="1749"/>
      <c r="N6" s="1781" t="s">
        <v>702</v>
      </c>
      <c r="O6" s="1795" t="s">
        <v>681</v>
      </c>
      <c r="P6" s="1796"/>
      <c r="Q6" s="1796"/>
      <c r="R6" s="572"/>
      <c r="S6" s="572"/>
      <c r="T6" s="572"/>
      <c r="U6" s="572"/>
      <c r="V6" s="572"/>
    </row>
    <row r="7" spans="1:22" s="772" customFormat="1" ht="105" customHeight="1" x14ac:dyDescent="0.25">
      <c r="A7" s="1747"/>
      <c r="B7" s="1747"/>
      <c r="C7" s="1747"/>
      <c r="D7" s="1748"/>
      <c r="E7" s="1748"/>
      <c r="F7" s="1749"/>
      <c r="G7" s="1749"/>
      <c r="H7" s="1782"/>
      <c r="I7" s="1116" t="s">
        <v>680</v>
      </c>
      <c r="J7" s="1116" t="s">
        <v>757</v>
      </c>
      <c r="K7" s="1268" t="s">
        <v>898</v>
      </c>
      <c r="L7" s="1749"/>
      <c r="M7" s="1749"/>
      <c r="N7" s="1782"/>
      <c r="O7" s="1116" t="s">
        <v>680</v>
      </c>
      <c r="P7" s="1116" t="s">
        <v>757</v>
      </c>
      <c r="Q7" s="1268" t="s">
        <v>898</v>
      </c>
      <c r="R7" s="776"/>
      <c r="S7" s="776"/>
      <c r="T7" s="776"/>
      <c r="U7" s="776"/>
      <c r="V7" s="776"/>
    </row>
    <row r="8" spans="1:22" s="772" customFormat="1" ht="29.25" customHeight="1" x14ac:dyDescent="0.25">
      <c r="A8" s="1922" t="s">
        <v>438</v>
      </c>
      <c r="B8" s="1922"/>
      <c r="C8" s="1922"/>
      <c r="D8" s="1922"/>
      <c r="E8" s="1923"/>
      <c r="F8" s="1003"/>
      <c r="G8" s="1003"/>
      <c r="H8" s="1003">
        <f>H9</f>
        <v>36851300</v>
      </c>
      <c r="I8" s="1003">
        <f t="shared" ref="I8:P8" si="0">I9</f>
        <v>0</v>
      </c>
      <c r="J8" s="1004">
        <f t="shared" si="0"/>
        <v>0</v>
      </c>
      <c r="K8" s="1004">
        <f>K9</f>
        <v>246300</v>
      </c>
      <c r="L8" s="1003"/>
      <c r="M8" s="1003"/>
      <c r="N8" s="1003">
        <f>N9</f>
        <v>36851300</v>
      </c>
      <c r="O8" s="1003">
        <f t="shared" si="0"/>
        <v>0</v>
      </c>
      <c r="P8" s="1003">
        <f t="shared" si="0"/>
        <v>0</v>
      </c>
      <c r="Q8" s="1280">
        <f>Q9</f>
        <v>246300</v>
      </c>
      <c r="R8" s="776"/>
      <c r="S8" s="776"/>
      <c r="T8" s="776"/>
      <c r="U8" s="776"/>
      <c r="V8" s="776"/>
    </row>
    <row r="9" spans="1:22" s="778" customFormat="1" x14ac:dyDescent="0.25">
      <c r="A9" s="1122"/>
      <c r="B9" s="1122"/>
      <c r="C9" s="1122">
        <v>991</v>
      </c>
      <c r="D9" s="553" t="s">
        <v>672</v>
      </c>
      <c r="E9" s="538"/>
      <c r="F9" s="563"/>
      <c r="G9" s="545"/>
      <c r="H9" s="544">
        <f>H10+H11</f>
        <v>36851300</v>
      </c>
      <c r="I9" s="545">
        <f t="shared" ref="I9:J9" si="1">I10+I11</f>
        <v>0</v>
      </c>
      <c r="J9" s="796">
        <f t="shared" si="1"/>
        <v>0</v>
      </c>
      <c r="K9" s="796">
        <f>K10</f>
        <v>246300</v>
      </c>
      <c r="L9" s="563"/>
      <c r="M9" s="545"/>
      <c r="N9" s="796">
        <f>N10+N11</f>
        <v>36851300</v>
      </c>
      <c r="O9" s="545">
        <f t="shared" ref="O9:P9" si="2">O10+O11</f>
        <v>0</v>
      </c>
      <c r="P9" s="545">
        <f t="shared" si="2"/>
        <v>0</v>
      </c>
      <c r="Q9" s="779">
        <f>Q10</f>
        <v>246300</v>
      </c>
      <c r="R9" s="777"/>
      <c r="S9" s="777"/>
      <c r="T9" s="777"/>
      <c r="U9" s="777"/>
      <c r="V9" s="777"/>
    </row>
    <row r="10" spans="1:22" s="573" customFormat="1" ht="15.75" customHeight="1" x14ac:dyDescent="0.25">
      <c r="A10" s="535">
        <v>111</v>
      </c>
      <c r="B10" s="535">
        <v>211</v>
      </c>
      <c r="C10" s="535">
        <v>991</v>
      </c>
      <c r="D10" s="554" t="s">
        <v>703</v>
      </c>
      <c r="E10" s="531" t="s">
        <v>683</v>
      </c>
      <c r="F10" s="564">
        <v>38.049999999999997</v>
      </c>
      <c r="G10" s="547">
        <f>(H10+I10+J10+K10)/F10</f>
        <v>972057.82</v>
      </c>
      <c r="H10" s="546">
        <f>36851300-110800</f>
        <v>36740500</v>
      </c>
      <c r="I10" s="547"/>
      <c r="J10" s="803"/>
      <c r="K10" s="803">
        <f>246300</f>
        <v>246300</v>
      </c>
      <c r="L10" s="564">
        <v>38.049999999999997</v>
      </c>
      <c r="M10" s="547">
        <f>(N10+O10+P10+Q10)/L10</f>
        <v>972057.82</v>
      </c>
      <c r="N10" s="546">
        <f>36851300-110800</f>
        <v>36740500</v>
      </c>
      <c r="O10" s="547"/>
      <c r="P10" s="547"/>
      <c r="Q10" s="803">
        <f>246300</f>
        <v>246300</v>
      </c>
      <c r="R10" s="572"/>
      <c r="S10" s="572"/>
      <c r="T10" s="572"/>
      <c r="U10" s="572"/>
      <c r="V10" s="572"/>
    </row>
    <row r="11" spans="1:22" s="573" customFormat="1" ht="17.25" customHeight="1" x14ac:dyDescent="0.25">
      <c r="A11" s="536">
        <v>111</v>
      </c>
      <c r="B11" s="536">
        <v>266</v>
      </c>
      <c r="C11" s="536">
        <v>991</v>
      </c>
      <c r="D11" s="485" t="s">
        <v>677</v>
      </c>
      <c r="E11" s="534" t="s">
        <v>683</v>
      </c>
      <c r="F11" s="565">
        <v>38.049999999999997</v>
      </c>
      <c r="G11" s="549">
        <f>(H11+I11+J11)/F11</f>
        <v>2911.96</v>
      </c>
      <c r="H11" s="548">
        <f>110800</f>
        <v>110800</v>
      </c>
      <c r="I11" s="549"/>
      <c r="J11" s="804"/>
      <c r="K11" s="804"/>
      <c r="L11" s="565">
        <v>38.049999999999997</v>
      </c>
      <c r="M11" s="549">
        <f>(N11+O11+P11)/L11</f>
        <v>2911.96</v>
      </c>
      <c r="N11" s="548">
        <f>110800</f>
        <v>110800</v>
      </c>
      <c r="O11" s="549"/>
      <c r="P11" s="549"/>
      <c r="Q11" s="546"/>
      <c r="R11" s="572"/>
      <c r="S11" s="572"/>
      <c r="T11" s="572"/>
      <c r="U11" s="572"/>
      <c r="V11" s="572"/>
    </row>
    <row r="12" spans="1:22" ht="39" customHeight="1" x14ac:dyDescent="0.25">
      <c r="A12" s="1754" t="s">
        <v>440</v>
      </c>
      <c r="B12" s="1755"/>
      <c r="C12" s="1755"/>
      <c r="D12" s="1755"/>
      <c r="E12" s="1755"/>
      <c r="F12" s="550"/>
      <c r="G12" s="550"/>
      <c r="H12" s="550">
        <f>H13+H14</f>
        <v>0</v>
      </c>
      <c r="I12" s="550">
        <f t="shared" ref="I12:J12" si="3">I13+I14</f>
        <v>960300</v>
      </c>
      <c r="J12" s="995">
        <f t="shared" si="3"/>
        <v>0</v>
      </c>
      <c r="K12" s="995"/>
      <c r="L12" s="550"/>
      <c r="M12" s="550"/>
      <c r="N12" s="550">
        <f>N13+N14</f>
        <v>0</v>
      </c>
      <c r="O12" s="550">
        <f t="shared" ref="O12" si="4">O13+O14</f>
        <v>960300</v>
      </c>
      <c r="P12" s="550">
        <f t="shared" ref="P12" si="5">P13+P14</f>
        <v>0</v>
      </c>
      <c r="Q12" s="994"/>
    </row>
    <row r="13" spans="1:22" s="573" customFormat="1" x14ac:dyDescent="0.25">
      <c r="A13" s="1117">
        <v>112</v>
      </c>
      <c r="B13" s="1117">
        <v>214</v>
      </c>
      <c r="C13" s="1117">
        <v>911</v>
      </c>
      <c r="D13" s="556" t="s">
        <v>216</v>
      </c>
      <c r="E13" s="991" t="s">
        <v>683</v>
      </c>
      <c r="F13" s="566">
        <v>38.049999999999997</v>
      </c>
      <c r="G13" s="577">
        <f>(H13+I13+J13)/F13</f>
        <v>25237.84</v>
      </c>
      <c r="H13" s="590"/>
      <c r="I13" s="724">
        <v>960300</v>
      </c>
      <c r="J13" s="590"/>
      <c r="K13" s="724"/>
      <c r="L13" s="566">
        <v>38.049999999999997</v>
      </c>
      <c r="M13" s="577">
        <f>(N13+O13+P13)/L13</f>
        <v>25237.84</v>
      </c>
      <c r="N13" s="824"/>
      <c r="O13" s="724">
        <v>960300</v>
      </c>
      <c r="P13" s="1138"/>
      <c r="Q13" s="796"/>
      <c r="R13" s="572"/>
      <c r="S13" s="572"/>
      <c r="T13" s="572"/>
      <c r="U13" s="572"/>
      <c r="V13" s="572"/>
    </row>
    <row r="14" spans="1:22" s="573" customFormat="1" ht="26.4" hidden="1" x14ac:dyDescent="0.25">
      <c r="A14" s="790"/>
      <c r="B14" s="790"/>
      <c r="C14" s="790">
        <v>917</v>
      </c>
      <c r="D14" s="553" t="s">
        <v>851</v>
      </c>
      <c r="E14" s="583"/>
      <c r="F14" s="563"/>
      <c r="G14" s="545"/>
      <c r="H14" s="823">
        <f t="shared" ref="H14" si="6">SUM(H15:H16)</f>
        <v>0</v>
      </c>
      <c r="I14" s="577">
        <f>SUM(I15:I16)</f>
        <v>0</v>
      </c>
      <c r="J14" s="781">
        <f>SUM(J15:J16)</f>
        <v>0</v>
      </c>
      <c r="K14" s="781"/>
      <c r="L14" s="563"/>
      <c r="M14" s="545"/>
      <c r="N14" s="577">
        <f t="shared" ref="N14" si="7">SUM(N15:N16)</f>
        <v>0</v>
      </c>
      <c r="O14" s="577">
        <f>SUM(O15:O16)</f>
        <v>0</v>
      </c>
      <c r="P14" s="577">
        <f>SUM(P15:P16)</f>
        <v>0</v>
      </c>
      <c r="Q14" s="779"/>
      <c r="R14" s="572"/>
      <c r="S14" s="572"/>
      <c r="T14" s="572"/>
      <c r="U14" s="572"/>
      <c r="V14" s="572"/>
    </row>
    <row r="15" spans="1:22" s="573" customFormat="1" ht="14.25" hidden="1" customHeight="1" x14ac:dyDescent="0.25">
      <c r="A15" s="535">
        <v>112</v>
      </c>
      <c r="B15" s="535">
        <v>212</v>
      </c>
      <c r="C15" s="535">
        <v>917</v>
      </c>
      <c r="D15" s="554" t="s">
        <v>837</v>
      </c>
      <c r="E15" s="587" t="s">
        <v>182</v>
      </c>
      <c r="F15" s="564">
        <v>1</v>
      </c>
      <c r="G15" s="547">
        <f>(H15+I15+J15)/F15</f>
        <v>0</v>
      </c>
      <c r="H15" s="546"/>
      <c r="I15" s="547"/>
      <c r="J15" s="546"/>
      <c r="K15" s="546"/>
      <c r="L15" s="564">
        <v>1</v>
      </c>
      <c r="M15" s="547">
        <f>(N15+O15+P15)/L15</f>
        <v>0</v>
      </c>
      <c r="N15" s="803"/>
      <c r="O15" s="547"/>
      <c r="P15" s="809"/>
      <c r="Q15" s="546"/>
      <c r="R15" s="572"/>
      <c r="S15" s="572"/>
      <c r="T15" s="572"/>
      <c r="U15" s="572"/>
      <c r="V15" s="572"/>
    </row>
    <row r="16" spans="1:22" s="573" customFormat="1" ht="13.5" hidden="1" customHeight="1" x14ac:dyDescent="0.25">
      <c r="A16" s="535">
        <v>112</v>
      </c>
      <c r="B16" s="535">
        <v>214</v>
      </c>
      <c r="C16" s="535">
        <v>917</v>
      </c>
      <c r="D16" s="579" t="s">
        <v>838</v>
      </c>
      <c r="E16" s="586" t="s">
        <v>182</v>
      </c>
      <c r="F16" s="564">
        <v>1</v>
      </c>
      <c r="G16" s="547">
        <f>(H16+I16+J16)/F16</f>
        <v>0</v>
      </c>
      <c r="H16" s="546"/>
      <c r="I16" s="547"/>
      <c r="J16" s="546"/>
      <c r="K16" s="546"/>
      <c r="L16" s="564">
        <v>1</v>
      </c>
      <c r="M16" s="547">
        <f>(N16+O16+P16)/L16</f>
        <v>0</v>
      </c>
      <c r="N16" s="803"/>
      <c r="O16" s="547"/>
      <c r="P16" s="809"/>
      <c r="Q16" s="546"/>
      <c r="R16" s="572"/>
      <c r="S16" s="572"/>
      <c r="T16" s="572"/>
      <c r="U16" s="572"/>
      <c r="V16" s="572"/>
    </row>
    <row r="17" spans="1:22" s="772" customFormat="1" ht="44.25" customHeight="1" x14ac:dyDescent="0.25">
      <c r="A17" s="1756" t="s">
        <v>684</v>
      </c>
      <c r="B17" s="1757"/>
      <c r="C17" s="1757"/>
      <c r="D17" s="1757"/>
      <c r="E17" s="1757"/>
      <c r="F17" s="567"/>
      <c r="G17" s="567"/>
      <c r="H17" s="567">
        <f>H18</f>
        <v>11129100</v>
      </c>
      <c r="I17" s="567">
        <f>I18</f>
        <v>0</v>
      </c>
      <c r="J17" s="996">
        <f t="shared" ref="J17" si="8">J18</f>
        <v>0</v>
      </c>
      <c r="K17" s="996">
        <f>K18</f>
        <v>74400</v>
      </c>
      <c r="L17" s="567"/>
      <c r="M17" s="567"/>
      <c r="N17" s="567">
        <f>N18</f>
        <v>11129100</v>
      </c>
      <c r="O17" s="567">
        <f>O18</f>
        <v>0</v>
      </c>
      <c r="P17" s="567">
        <f t="shared" ref="P17" si="9">P18</f>
        <v>0</v>
      </c>
      <c r="Q17" s="996">
        <f>Q18</f>
        <v>74400</v>
      </c>
      <c r="R17" s="776"/>
      <c r="S17" s="776"/>
      <c r="T17" s="776"/>
      <c r="U17" s="776"/>
      <c r="V17" s="776"/>
    </row>
    <row r="18" spans="1:22" s="772" customFormat="1" ht="17.25" customHeight="1" x14ac:dyDescent="0.25">
      <c r="A18" s="561"/>
      <c r="B18" s="537"/>
      <c r="C18" s="561">
        <v>992</v>
      </c>
      <c r="D18" s="540" t="s">
        <v>678</v>
      </c>
      <c r="E18" s="560"/>
      <c r="F18" s="563"/>
      <c r="G18" s="568"/>
      <c r="H18" s="563">
        <f t="shared" ref="H18:P18" si="10">SUM(H19:H19)</f>
        <v>11129100</v>
      </c>
      <c r="I18" s="563">
        <f t="shared" si="10"/>
        <v>0</v>
      </c>
      <c r="J18" s="568">
        <f t="shared" si="10"/>
        <v>0</v>
      </c>
      <c r="K18" s="563">
        <f>K19</f>
        <v>74400</v>
      </c>
      <c r="L18" s="563"/>
      <c r="M18" s="568"/>
      <c r="N18" s="563">
        <f t="shared" si="10"/>
        <v>11129100</v>
      </c>
      <c r="O18" s="563">
        <f t="shared" si="10"/>
        <v>0</v>
      </c>
      <c r="P18" s="1139">
        <f t="shared" si="10"/>
        <v>0</v>
      </c>
      <c r="Q18" s="568">
        <f>Q19</f>
        <v>74400</v>
      </c>
      <c r="R18" s="776"/>
      <c r="S18" s="776"/>
      <c r="T18" s="776"/>
      <c r="U18" s="776"/>
      <c r="V18" s="776"/>
    </row>
    <row r="19" spans="1:22" s="573" customFormat="1" ht="14.25" customHeight="1" x14ac:dyDescent="0.25">
      <c r="A19" s="535">
        <v>119</v>
      </c>
      <c r="B19" s="530">
        <v>213</v>
      </c>
      <c r="C19" s="535">
        <v>992</v>
      </c>
      <c r="D19" s="554" t="s">
        <v>678</v>
      </c>
      <c r="E19" s="531" t="s">
        <v>683</v>
      </c>
      <c r="F19" s="564">
        <v>38.049999999999997</v>
      </c>
      <c r="G19" s="547">
        <f>(H19+I19+J19+K19)/F19</f>
        <v>294441.52</v>
      </c>
      <c r="H19" s="547">
        <v>11129100</v>
      </c>
      <c r="I19" s="547"/>
      <c r="J19" s="546"/>
      <c r="K19" s="549">
        <v>74400</v>
      </c>
      <c r="L19" s="564">
        <v>38.049999999999997</v>
      </c>
      <c r="M19" s="547">
        <f>(N19+O19+P19+Q19)/L19</f>
        <v>294441.52</v>
      </c>
      <c r="N19" s="547">
        <v>11129100</v>
      </c>
      <c r="O19" s="547"/>
      <c r="P19" s="809"/>
      <c r="Q19" s="549">
        <v>74400</v>
      </c>
      <c r="R19" s="572"/>
      <c r="S19" s="572"/>
      <c r="T19" s="572"/>
      <c r="U19" s="572"/>
      <c r="V19" s="572"/>
    </row>
    <row r="20" spans="1:22" ht="37.5" customHeight="1" x14ac:dyDescent="0.25">
      <c r="A20" s="1756" t="s">
        <v>612</v>
      </c>
      <c r="B20" s="1757"/>
      <c r="C20" s="1757"/>
      <c r="D20" s="1757"/>
      <c r="E20" s="1757"/>
      <c r="F20" s="567"/>
      <c r="G20" s="771"/>
      <c r="H20" s="780">
        <f>H24+H28+H30+H31+H38+H44+H46+H22+H21</f>
        <v>5606700</v>
      </c>
      <c r="I20" s="780">
        <f>I24+I28+I30+I31+I38+I44+I46+I22+I21</f>
        <v>0</v>
      </c>
      <c r="J20" s="780">
        <f>J24+J28+J30+J31+J38+J44+J46+J22+J21</f>
        <v>160000</v>
      </c>
      <c r="K20" s="780">
        <f>K21+K22+K24+K28+K30+K31+K38+K42+K44+K46</f>
        <v>18600</v>
      </c>
      <c r="L20" s="567"/>
      <c r="M20" s="771"/>
      <c r="N20" s="780">
        <f>N24+N28+N30+N31+N38+N44+N46+N22+N21</f>
        <v>5606700</v>
      </c>
      <c r="O20" s="780">
        <f>O24+O28+O30+O31+O38+O44+O46+O22+O21</f>
        <v>0</v>
      </c>
      <c r="P20" s="780">
        <f>P24+P28+P30+P31+P38+P44+P46+P22+P21</f>
        <v>160000</v>
      </c>
      <c r="Q20" s="1280">
        <f>Q21+Q22+Q24+Q28+Q30+Q31+Q38+Q42+Q44+Q46</f>
        <v>18600</v>
      </c>
    </row>
    <row r="21" spans="1:22" ht="37.5" customHeight="1" x14ac:dyDescent="0.25">
      <c r="A21" s="991">
        <v>244</v>
      </c>
      <c r="B21" s="591">
        <v>226</v>
      </c>
      <c r="C21" s="589">
        <v>919</v>
      </c>
      <c r="D21" s="1038" t="s">
        <v>856</v>
      </c>
      <c r="E21" s="589" t="s">
        <v>370</v>
      </c>
      <c r="F21" s="566">
        <v>1</v>
      </c>
      <c r="G21" s="577">
        <f>(H21+I21+J21)/F21</f>
        <v>315500</v>
      </c>
      <c r="H21" s="724">
        <v>315500</v>
      </c>
      <c r="I21" s="724"/>
      <c r="J21" s="724"/>
      <c r="K21" s="590"/>
      <c r="L21" s="566">
        <v>1</v>
      </c>
      <c r="M21" s="577">
        <f>(N21+O21+P21)/L21</f>
        <v>315500</v>
      </c>
      <c r="N21" s="724">
        <v>315500</v>
      </c>
      <c r="O21" s="724"/>
      <c r="P21" s="1140"/>
      <c r="Q21" s="1291"/>
    </row>
    <row r="22" spans="1:22" ht="30.75" customHeight="1" x14ac:dyDescent="0.25">
      <c r="A22" s="927">
        <v>244</v>
      </c>
      <c r="B22" s="1005">
        <v>222</v>
      </c>
      <c r="C22" s="927">
        <v>922</v>
      </c>
      <c r="D22" s="540" t="s">
        <v>864</v>
      </c>
      <c r="E22" s="1006"/>
      <c r="F22" s="986"/>
      <c r="G22" s="797"/>
      <c r="H22" s="545">
        <f>H23</f>
        <v>78000</v>
      </c>
      <c r="I22" s="796">
        <f t="shared" ref="I22:P22" si="11">I23</f>
        <v>0</v>
      </c>
      <c r="J22" s="545">
        <f t="shared" si="11"/>
        <v>160000</v>
      </c>
      <c r="K22" s="545"/>
      <c r="L22" s="1007"/>
      <c r="M22" s="797"/>
      <c r="N22" s="545">
        <f>N23</f>
        <v>78000</v>
      </c>
      <c r="O22" s="796">
        <f t="shared" si="11"/>
        <v>0</v>
      </c>
      <c r="P22" s="545">
        <f t="shared" si="11"/>
        <v>160000</v>
      </c>
      <c r="Q22" s="796"/>
    </row>
    <row r="23" spans="1:22" ht="22.5" customHeight="1" x14ac:dyDescent="0.25">
      <c r="A23" s="923"/>
      <c r="B23" s="922"/>
      <c r="C23" s="923"/>
      <c r="D23" s="485" t="s">
        <v>855</v>
      </c>
      <c r="E23" s="1327" t="s">
        <v>181</v>
      </c>
      <c r="F23" s="987">
        <v>7</v>
      </c>
      <c r="G23" s="549">
        <f>(H23+I23+J23)/F23</f>
        <v>34000</v>
      </c>
      <c r="H23" s="802">
        <v>78000</v>
      </c>
      <c r="I23" s="804"/>
      <c r="J23" s="549">
        <v>160000</v>
      </c>
      <c r="K23" s="548"/>
      <c r="L23" s="987">
        <v>7</v>
      </c>
      <c r="M23" s="549">
        <f>(N23+O23+P23)/L23</f>
        <v>34000</v>
      </c>
      <c r="N23" s="802">
        <v>78000</v>
      </c>
      <c r="O23" s="804"/>
      <c r="P23" s="549">
        <v>160000</v>
      </c>
      <c r="Q23" s="546"/>
    </row>
    <row r="24" spans="1:22" s="573" customFormat="1" ht="16.5" customHeight="1" x14ac:dyDescent="0.25">
      <c r="A24" s="1122">
        <v>244</v>
      </c>
      <c r="B24" s="1124">
        <v>221</v>
      </c>
      <c r="C24" s="1122">
        <v>925</v>
      </c>
      <c r="D24" s="558" t="s">
        <v>704</v>
      </c>
      <c r="E24" s="583"/>
      <c r="F24" s="563"/>
      <c r="G24" s="545"/>
      <c r="H24" s="779">
        <f>SUM(H25:H27)</f>
        <v>50000</v>
      </c>
      <c r="I24" s="545">
        <f t="shared" ref="I24:P24" si="12">I27</f>
        <v>0</v>
      </c>
      <c r="J24" s="796">
        <f t="shared" si="12"/>
        <v>0</v>
      </c>
      <c r="K24" s="796"/>
      <c r="L24" s="563"/>
      <c r="M24" s="545"/>
      <c r="N24" s="779">
        <f>SUM(N25:N27)</f>
        <v>50000</v>
      </c>
      <c r="O24" s="545">
        <f t="shared" si="12"/>
        <v>0</v>
      </c>
      <c r="P24" s="545">
        <f t="shared" si="12"/>
        <v>0</v>
      </c>
      <c r="Q24" s="796"/>
      <c r="R24" s="572"/>
      <c r="S24" s="572"/>
      <c r="T24" s="572"/>
      <c r="U24" s="572"/>
      <c r="V24" s="572"/>
    </row>
    <row r="25" spans="1:22" s="573" customFormat="1" ht="26.4" x14ac:dyDescent="0.25">
      <c r="A25" s="790"/>
      <c r="B25" s="791"/>
      <c r="C25" s="790"/>
      <c r="D25" s="557" t="s">
        <v>366</v>
      </c>
      <c r="E25" s="587" t="s">
        <v>181</v>
      </c>
      <c r="F25" s="564">
        <v>6</v>
      </c>
      <c r="G25" s="547">
        <f>(H25+I25+N25+O25)/F25</f>
        <v>13933.33</v>
      </c>
      <c r="H25" s="546">
        <v>41800</v>
      </c>
      <c r="I25" s="577"/>
      <c r="J25" s="781"/>
      <c r="K25" s="781"/>
      <c r="L25" s="564">
        <v>6</v>
      </c>
      <c r="M25" s="547">
        <f>(N25+O25+T25+U25)/L25</f>
        <v>6966.67</v>
      </c>
      <c r="N25" s="546">
        <v>41800</v>
      </c>
      <c r="O25" s="577"/>
      <c r="P25" s="577"/>
      <c r="Q25" s="779"/>
      <c r="R25" s="572"/>
      <c r="S25" s="572"/>
      <c r="T25" s="572"/>
      <c r="U25" s="572"/>
      <c r="V25" s="572"/>
    </row>
    <row r="26" spans="1:22" s="573" customFormat="1" ht="13.5" customHeight="1" x14ac:dyDescent="0.25">
      <c r="A26" s="790"/>
      <c r="B26" s="791"/>
      <c r="C26" s="790"/>
      <c r="D26" s="557" t="s">
        <v>859</v>
      </c>
      <c r="E26" s="587" t="s">
        <v>718</v>
      </c>
      <c r="F26" s="564">
        <v>1</v>
      </c>
      <c r="G26" s="547">
        <f t="shared" ref="G26:G27" si="13">(H26+I26+N26+O26)/F26</f>
        <v>1000</v>
      </c>
      <c r="H26" s="546">
        <v>500</v>
      </c>
      <c r="I26" s="577"/>
      <c r="J26" s="781"/>
      <c r="K26" s="781"/>
      <c r="L26" s="564">
        <v>1</v>
      </c>
      <c r="M26" s="547">
        <f t="shared" ref="M26:M27" si="14">(N26+O26+T26+U26)/L26</f>
        <v>500</v>
      </c>
      <c r="N26" s="546">
        <v>500</v>
      </c>
      <c r="O26" s="577"/>
      <c r="P26" s="577"/>
      <c r="Q26" s="779"/>
      <c r="R26" s="572"/>
      <c r="S26" s="572"/>
      <c r="T26" s="572"/>
      <c r="U26" s="572"/>
      <c r="V26" s="572"/>
    </row>
    <row r="27" spans="1:22" s="573" customFormat="1" ht="16.5" customHeight="1" x14ac:dyDescent="0.25">
      <c r="A27" s="536"/>
      <c r="B27" s="533"/>
      <c r="C27" s="536"/>
      <c r="D27" s="557" t="s">
        <v>860</v>
      </c>
      <c r="E27" s="587" t="s">
        <v>718</v>
      </c>
      <c r="F27" s="564">
        <v>1</v>
      </c>
      <c r="G27" s="547">
        <f t="shared" si="13"/>
        <v>15400</v>
      </c>
      <c r="H27" s="546">
        <v>7700</v>
      </c>
      <c r="I27" s="575"/>
      <c r="J27" s="998"/>
      <c r="K27" s="781"/>
      <c r="L27" s="564">
        <v>1</v>
      </c>
      <c r="M27" s="547">
        <f t="shared" si="14"/>
        <v>7700</v>
      </c>
      <c r="N27" s="546">
        <v>7700</v>
      </c>
      <c r="O27" s="575"/>
      <c r="P27" s="575"/>
      <c r="Q27" s="779"/>
      <c r="R27" s="572"/>
      <c r="S27" s="572"/>
      <c r="T27" s="572"/>
      <c r="U27" s="572"/>
      <c r="V27" s="572"/>
    </row>
    <row r="28" spans="1:22" s="573" customFormat="1" ht="39.6" x14ac:dyDescent="0.25">
      <c r="A28" s="1122">
        <v>244</v>
      </c>
      <c r="B28" s="1122">
        <v>225</v>
      </c>
      <c r="C28" s="1122">
        <v>927</v>
      </c>
      <c r="D28" s="985" t="s">
        <v>705</v>
      </c>
      <c r="E28" s="1001"/>
      <c r="F28" s="563"/>
      <c r="G28" s="545"/>
      <c r="H28" s="545">
        <f>H29</f>
        <v>1924100</v>
      </c>
      <c r="I28" s="545">
        <f t="shared" ref="I28:P28" si="15">I29</f>
        <v>0</v>
      </c>
      <c r="J28" s="545">
        <f t="shared" si="15"/>
        <v>0</v>
      </c>
      <c r="K28" s="544"/>
      <c r="L28" s="563"/>
      <c r="M28" s="545"/>
      <c r="N28" s="545">
        <f>N29</f>
        <v>1924100</v>
      </c>
      <c r="O28" s="545">
        <f t="shared" si="15"/>
        <v>0</v>
      </c>
      <c r="P28" s="1141">
        <f t="shared" si="15"/>
        <v>0</v>
      </c>
      <c r="Q28" s="796"/>
      <c r="R28" s="572"/>
      <c r="S28" s="572"/>
      <c r="T28" s="572"/>
      <c r="U28" s="572"/>
      <c r="V28" s="572"/>
    </row>
    <row r="29" spans="1:22" s="573" customFormat="1" ht="15.75" customHeight="1" x14ac:dyDescent="0.25">
      <c r="A29" s="536"/>
      <c r="B29" s="533"/>
      <c r="C29" s="536"/>
      <c r="D29" s="993" t="s">
        <v>715</v>
      </c>
      <c r="E29" s="586" t="s">
        <v>370</v>
      </c>
      <c r="F29" s="565">
        <v>1</v>
      </c>
      <c r="G29" s="549">
        <f>(H29+I29+J29)/F29</f>
        <v>1924100</v>
      </c>
      <c r="H29" s="549">
        <v>1924100</v>
      </c>
      <c r="I29" s="549"/>
      <c r="J29" s="549"/>
      <c r="K29" s="548"/>
      <c r="L29" s="565">
        <v>1</v>
      </c>
      <c r="M29" s="549">
        <f>(N29+O29+P29)/L29</f>
        <v>1924100</v>
      </c>
      <c r="N29" s="549">
        <v>1924100</v>
      </c>
      <c r="O29" s="549"/>
      <c r="P29" s="1089"/>
      <c r="Q29" s="804"/>
      <c r="R29" s="572"/>
      <c r="S29" s="572"/>
      <c r="T29" s="572"/>
      <c r="U29" s="572"/>
      <c r="V29" s="572"/>
    </row>
    <row r="30" spans="1:22" s="573" customFormat="1" ht="45.75" customHeight="1" x14ac:dyDescent="0.25">
      <c r="A30" s="576">
        <v>244</v>
      </c>
      <c r="B30" s="576">
        <v>223</v>
      </c>
      <c r="C30" s="576" t="s">
        <v>716</v>
      </c>
      <c r="D30" s="582" t="s">
        <v>717</v>
      </c>
      <c r="E30" s="634" t="s">
        <v>718</v>
      </c>
      <c r="F30" s="570">
        <v>1</v>
      </c>
      <c r="G30" s="547">
        <f>(H30+I30+J30)/F30</f>
        <v>58200</v>
      </c>
      <c r="H30" s="577">
        <v>58200</v>
      </c>
      <c r="I30" s="577"/>
      <c r="J30" s="781"/>
      <c r="K30" s="781"/>
      <c r="L30" s="570">
        <v>1</v>
      </c>
      <c r="M30" s="547">
        <f>(N30+O30+P30)/L30</f>
        <v>58200</v>
      </c>
      <c r="N30" s="577">
        <v>58200</v>
      </c>
      <c r="O30" s="577"/>
      <c r="P30" s="577"/>
      <c r="Q30" s="998"/>
      <c r="R30" s="572"/>
      <c r="S30" s="572"/>
      <c r="T30" s="572"/>
      <c r="U30" s="572"/>
      <c r="V30" s="572"/>
    </row>
    <row r="31" spans="1:22" s="573" customFormat="1" ht="39.6" x14ac:dyDescent="0.25">
      <c r="A31" s="561">
        <v>244</v>
      </c>
      <c r="B31" s="538">
        <v>225</v>
      </c>
      <c r="C31" s="583">
        <v>941</v>
      </c>
      <c r="D31" s="1012" t="s">
        <v>845</v>
      </c>
      <c r="E31" s="532"/>
      <c r="F31" s="584"/>
      <c r="G31" s="581"/>
      <c r="H31" s="544">
        <f>SUM(H32:H37)</f>
        <v>635800</v>
      </c>
      <c r="I31" s="545">
        <f t="shared" ref="I31:P31" si="16">SUM(I32:I36)</f>
        <v>0</v>
      </c>
      <c r="J31" s="796">
        <f t="shared" si="16"/>
        <v>0</v>
      </c>
      <c r="K31" s="796"/>
      <c r="L31" s="584"/>
      <c r="M31" s="581"/>
      <c r="N31" s="796">
        <f>SUM(N32:N37)</f>
        <v>635800</v>
      </c>
      <c r="O31" s="545">
        <f t="shared" si="16"/>
        <v>0</v>
      </c>
      <c r="P31" s="545">
        <f t="shared" si="16"/>
        <v>0</v>
      </c>
      <c r="Q31" s="779"/>
      <c r="R31" s="572"/>
      <c r="S31" s="572"/>
      <c r="T31" s="572"/>
      <c r="U31" s="572"/>
      <c r="V31" s="572"/>
    </row>
    <row r="32" spans="1:22" s="573" customFormat="1" ht="20.25" customHeight="1" x14ac:dyDescent="0.25">
      <c r="A32" s="1120"/>
      <c r="B32" s="531"/>
      <c r="C32" s="1120"/>
      <c r="D32" s="1081" t="s">
        <v>377</v>
      </c>
      <c r="E32" s="587" t="s">
        <v>178</v>
      </c>
      <c r="F32" s="564">
        <v>12</v>
      </c>
      <c r="G32" s="547">
        <f t="shared" ref="G32:G37" si="17">(H32+I32+J32)/F32</f>
        <v>12500</v>
      </c>
      <c r="H32" s="546">
        <v>150000</v>
      </c>
      <c r="I32" s="547"/>
      <c r="J32" s="803"/>
      <c r="K32" s="803"/>
      <c r="L32" s="564">
        <v>12</v>
      </c>
      <c r="M32" s="547">
        <f t="shared" ref="M32:M37" si="18">(N32+O32+P32)/L32</f>
        <v>12500</v>
      </c>
      <c r="N32" s="546">
        <v>150000</v>
      </c>
      <c r="O32" s="547"/>
      <c r="P32" s="547"/>
      <c r="Q32" s="546"/>
      <c r="R32" s="572"/>
      <c r="S32" s="572"/>
      <c r="T32" s="572"/>
      <c r="U32" s="572"/>
      <c r="V32" s="572"/>
    </row>
    <row r="33" spans="1:22" s="573" customFormat="1" ht="21.75" customHeight="1" x14ac:dyDescent="0.25">
      <c r="A33" s="1120"/>
      <c r="B33" s="531"/>
      <c r="C33" s="1120"/>
      <c r="D33" s="557" t="s">
        <v>378</v>
      </c>
      <c r="E33" s="587" t="s">
        <v>178</v>
      </c>
      <c r="F33" s="564">
        <v>12</v>
      </c>
      <c r="G33" s="547">
        <f t="shared" si="17"/>
        <v>1475</v>
      </c>
      <c r="H33" s="546">
        <v>17700</v>
      </c>
      <c r="I33" s="547"/>
      <c r="J33" s="803"/>
      <c r="K33" s="803"/>
      <c r="L33" s="564">
        <v>12</v>
      </c>
      <c r="M33" s="547">
        <f t="shared" si="18"/>
        <v>1475</v>
      </c>
      <c r="N33" s="546">
        <v>17700</v>
      </c>
      <c r="O33" s="547"/>
      <c r="P33" s="547"/>
      <c r="Q33" s="546"/>
      <c r="R33" s="572"/>
      <c r="S33" s="572"/>
      <c r="T33" s="572"/>
      <c r="U33" s="572"/>
      <c r="V33" s="572"/>
    </row>
    <row r="34" spans="1:22" s="573" customFormat="1" ht="21.75" customHeight="1" x14ac:dyDescent="0.25">
      <c r="A34" s="1120"/>
      <c r="B34" s="531"/>
      <c r="C34" s="1120"/>
      <c r="D34" s="557" t="s">
        <v>722</v>
      </c>
      <c r="E34" s="587" t="s">
        <v>178</v>
      </c>
      <c r="F34" s="564">
        <v>12</v>
      </c>
      <c r="G34" s="547">
        <f t="shared" si="17"/>
        <v>9500</v>
      </c>
      <c r="H34" s="546">
        <v>114000</v>
      </c>
      <c r="I34" s="547"/>
      <c r="J34" s="803"/>
      <c r="K34" s="803"/>
      <c r="L34" s="564">
        <v>12</v>
      </c>
      <c r="M34" s="547">
        <f t="shared" si="18"/>
        <v>9500</v>
      </c>
      <c r="N34" s="546">
        <v>114000</v>
      </c>
      <c r="O34" s="547"/>
      <c r="P34" s="547"/>
      <c r="Q34" s="546"/>
      <c r="R34" s="572"/>
      <c r="S34" s="572"/>
      <c r="T34" s="572"/>
      <c r="U34" s="572"/>
      <c r="V34" s="572"/>
    </row>
    <row r="35" spans="1:22" s="573" customFormat="1" ht="21.75" customHeight="1" x14ac:dyDescent="0.25">
      <c r="A35" s="1120"/>
      <c r="B35" s="531"/>
      <c r="C35" s="1120"/>
      <c r="D35" s="557" t="s">
        <v>379</v>
      </c>
      <c r="E35" s="587" t="s">
        <v>785</v>
      </c>
      <c r="F35" s="564">
        <v>4</v>
      </c>
      <c r="G35" s="547">
        <f t="shared" si="17"/>
        <v>33525</v>
      </c>
      <c r="H35" s="546">
        <v>134100</v>
      </c>
      <c r="I35" s="547"/>
      <c r="J35" s="803"/>
      <c r="K35" s="803"/>
      <c r="L35" s="564">
        <v>4</v>
      </c>
      <c r="M35" s="547">
        <f t="shared" si="18"/>
        <v>33525</v>
      </c>
      <c r="N35" s="546">
        <v>134100</v>
      </c>
      <c r="O35" s="547"/>
      <c r="P35" s="547"/>
      <c r="Q35" s="546"/>
      <c r="R35" s="572"/>
      <c r="S35" s="572"/>
      <c r="T35" s="572"/>
      <c r="U35" s="572"/>
      <c r="V35" s="572"/>
    </row>
    <row r="36" spans="1:22" s="573" customFormat="1" ht="21.75" customHeight="1" x14ac:dyDescent="0.25">
      <c r="A36" s="1120"/>
      <c r="B36" s="531"/>
      <c r="C36" s="1120"/>
      <c r="D36" s="557" t="s">
        <v>396</v>
      </c>
      <c r="E36" s="587" t="s">
        <v>786</v>
      </c>
      <c r="F36" s="564">
        <v>1790</v>
      </c>
      <c r="G36" s="547">
        <f t="shared" si="17"/>
        <v>67.040000000000006</v>
      </c>
      <c r="H36" s="546">
        <v>120000</v>
      </c>
      <c r="I36" s="547"/>
      <c r="J36" s="803"/>
      <c r="K36" s="803"/>
      <c r="L36" s="564">
        <v>1790</v>
      </c>
      <c r="M36" s="547">
        <f t="shared" si="18"/>
        <v>67.040000000000006</v>
      </c>
      <c r="N36" s="546">
        <v>120000</v>
      </c>
      <c r="O36" s="547"/>
      <c r="P36" s="547"/>
      <c r="Q36" s="546"/>
      <c r="R36" s="572"/>
      <c r="S36" s="572"/>
      <c r="T36" s="572"/>
      <c r="U36" s="572"/>
      <c r="V36" s="572"/>
    </row>
    <row r="37" spans="1:22" s="573" customFormat="1" ht="21.75" customHeight="1" x14ac:dyDescent="0.25">
      <c r="A37" s="587"/>
      <c r="B37" s="1271"/>
      <c r="C37" s="1271"/>
      <c r="D37" s="485" t="s">
        <v>896</v>
      </c>
      <c r="E37" s="1271" t="s">
        <v>718</v>
      </c>
      <c r="F37" s="1296">
        <v>1</v>
      </c>
      <c r="G37" s="547">
        <f t="shared" si="17"/>
        <v>100000</v>
      </c>
      <c r="H37" s="549">
        <f>100000</f>
        <v>100000</v>
      </c>
      <c r="I37" s="547"/>
      <c r="J37" s="803"/>
      <c r="K37" s="549"/>
      <c r="L37" s="1296">
        <v>1</v>
      </c>
      <c r="M37" s="547">
        <f t="shared" si="18"/>
        <v>100000</v>
      </c>
      <c r="N37" s="549">
        <f>100000</f>
        <v>100000</v>
      </c>
      <c r="O37" s="547"/>
      <c r="P37" s="809"/>
      <c r="Q37" s="546"/>
      <c r="R37" s="572"/>
      <c r="S37" s="572"/>
      <c r="T37" s="572"/>
      <c r="U37" s="572"/>
      <c r="V37" s="572"/>
    </row>
    <row r="38" spans="1:22" s="573" customFormat="1" ht="39.6" x14ac:dyDescent="0.25">
      <c r="A38" s="583">
        <v>244</v>
      </c>
      <c r="B38" s="561">
        <v>226</v>
      </c>
      <c r="C38" s="538">
        <v>953</v>
      </c>
      <c r="D38" s="553" t="s">
        <v>723</v>
      </c>
      <c r="E38" s="532"/>
      <c r="F38" s="584"/>
      <c r="G38" s="585"/>
      <c r="H38" s="545">
        <f>SUM(H39:H41)</f>
        <v>2365100</v>
      </c>
      <c r="I38" s="545">
        <f t="shared" ref="I38:J38" si="19">SUM(I39:I41)</f>
        <v>0</v>
      </c>
      <c r="J38" s="545">
        <f t="shared" si="19"/>
        <v>0</v>
      </c>
      <c r="K38" s="544"/>
      <c r="L38" s="584"/>
      <c r="M38" s="585"/>
      <c r="N38" s="545">
        <f>SUM(N39:N41)</f>
        <v>2365100</v>
      </c>
      <c r="O38" s="545">
        <f t="shared" ref="O38:P38" si="20">SUM(O39:O41)</f>
        <v>0</v>
      </c>
      <c r="P38" s="1141">
        <f t="shared" si="20"/>
        <v>0</v>
      </c>
      <c r="Q38" s="796"/>
      <c r="R38" s="572"/>
      <c r="S38" s="572"/>
      <c r="T38" s="572"/>
      <c r="U38" s="572"/>
      <c r="V38" s="572"/>
    </row>
    <row r="39" spans="1:22" s="573" customFormat="1" ht="17.25" customHeight="1" x14ac:dyDescent="0.25">
      <c r="A39" s="587"/>
      <c r="B39" s="1120"/>
      <c r="C39" s="531"/>
      <c r="D39" s="554" t="s">
        <v>380</v>
      </c>
      <c r="E39" s="531" t="s">
        <v>178</v>
      </c>
      <c r="F39" s="564">
        <v>12</v>
      </c>
      <c r="G39" s="547">
        <f>(H39+I39+J39)/F39</f>
        <v>2333.33</v>
      </c>
      <c r="H39" s="547">
        <v>28000</v>
      </c>
      <c r="I39" s="547"/>
      <c r="J39" s="547"/>
      <c r="K39" s="546"/>
      <c r="L39" s="564">
        <v>12</v>
      </c>
      <c r="M39" s="547">
        <f>(N39+O39+P39)/L39</f>
        <v>2333.33</v>
      </c>
      <c r="N39" s="547">
        <v>28000</v>
      </c>
      <c r="O39" s="547"/>
      <c r="P39" s="809"/>
      <c r="Q39" s="546"/>
      <c r="R39" s="572"/>
      <c r="S39" s="572"/>
      <c r="T39" s="572"/>
      <c r="U39" s="572"/>
      <c r="V39" s="572"/>
    </row>
    <row r="40" spans="1:22" s="573" customFormat="1" ht="36.75" customHeight="1" x14ac:dyDescent="0.25">
      <c r="A40" s="587"/>
      <c r="B40" s="1120"/>
      <c r="C40" s="531"/>
      <c r="D40" s="554" t="s">
        <v>671</v>
      </c>
      <c r="E40" s="531" t="s">
        <v>178</v>
      </c>
      <c r="F40" s="564">
        <v>12</v>
      </c>
      <c r="G40" s="547">
        <f>(H40+I40+J40)/F40</f>
        <v>7500</v>
      </c>
      <c r="H40" s="547">
        <v>90000</v>
      </c>
      <c r="I40" s="547"/>
      <c r="J40" s="547"/>
      <c r="K40" s="1274"/>
      <c r="L40" s="564">
        <v>12</v>
      </c>
      <c r="M40" s="547">
        <f>(N40+O40+P40)/L40</f>
        <v>7500</v>
      </c>
      <c r="N40" s="547">
        <v>90000</v>
      </c>
      <c r="O40" s="547"/>
      <c r="P40" s="1274"/>
      <c r="Q40" s="546"/>
      <c r="R40" s="572"/>
      <c r="S40" s="572"/>
      <c r="T40" s="572"/>
      <c r="U40" s="572"/>
      <c r="V40" s="572"/>
    </row>
    <row r="41" spans="1:22" s="573" customFormat="1" ht="18" customHeight="1" x14ac:dyDescent="0.25">
      <c r="A41" s="586"/>
      <c r="B41" s="1121"/>
      <c r="C41" s="534"/>
      <c r="D41" s="485" t="s">
        <v>381</v>
      </c>
      <c r="E41" s="534" t="s">
        <v>178</v>
      </c>
      <c r="F41" s="565">
        <v>12</v>
      </c>
      <c r="G41" s="549">
        <f>(H41+I41+J41)/F41</f>
        <v>187258.33</v>
      </c>
      <c r="H41" s="549">
        <v>2247100</v>
      </c>
      <c r="I41" s="549"/>
      <c r="J41" s="1286"/>
      <c r="K41" s="1002"/>
      <c r="L41" s="565">
        <v>12</v>
      </c>
      <c r="M41" s="549">
        <f>(N41+O41+P41)/L41</f>
        <v>187258.33</v>
      </c>
      <c r="N41" s="549">
        <v>2247100</v>
      </c>
      <c r="O41" s="549"/>
      <c r="P41" s="1143"/>
      <c r="Q41" s="1297"/>
      <c r="R41" s="572"/>
      <c r="S41" s="572"/>
      <c r="T41" s="572"/>
      <c r="U41" s="572"/>
      <c r="V41" s="572"/>
    </row>
    <row r="42" spans="1:22" s="573" customFormat="1" ht="18" customHeight="1" x14ac:dyDescent="0.25">
      <c r="A42" s="634">
        <v>244</v>
      </c>
      <c r="B42" s="576">
        <v>225</v>
      </c>
      <c r="C42" s="537">
        <v>955</v>
      </c>
      <c r="D42" s="893" t="s">
        <v>748</v>
      </c>
      <c r="F42" s="1289"/>
      <c r="H42" s="547"/>
      <c r="I42" s="547"/>
      <c r="J42" s="1293"/>
      <c r="K42" s="1294">
        <f>K43</f>
        <v>18600</v>
      </c>
      <c r="L42" s="564"/>
      <c r="M42" s="547"/>
      <c r="N42" s="547"/>
      <c r="O42" s="547"/>
      <c r="P42" s="1293"/>
      <c r="Q42" s="1284">
        <f>Q43</f>
        <v>18600</v>
      </c>
      <c r="R42" s="572"/>
      <c r="S42" s="572"/>
      <c r="T42" s="572"/>
      <c r="U42" s="572"/>
      <c r="V42" s="572"/>
    </row>
    <row r="43" spans="1:22" s="573" customFormat="1" ht="18" customHeight="1" x14ac:dyDescent="0.25">
      <c r="A43" s="587"/>
      <c r="B43" s="1270"/>
      <c r="C43" s="531"/>
      <c r="D43" s="1288" t="s">
        <v>900</v>
      </c>
      <c r="E43" s="531" t="s">
        <v>683</v>
      </c>
      <c r="F43" s="564">
        <v>6</v>
      </c>
      <c r="G43" s="548">
        <f>(H43+I43+K43+L42)/F43</f>
        <v>3100</v>
      </c>
      <c r="H43" s="547"/>
      <c r="I43" s="547"/>
      <c r="J43" s="1216"/>
      <c r="K43" s="1282">
        <f>18600</f>
        <v>18600</v>
      </c>
      <c r="L43" s="564">
        <v>6</v>
      </c>
      <c r="M43" s="547">
        <f>(N43+O43+P43+Q43)/L43</f>
        <v>3100</v>
      </c>
      <c r="N43" s="547"/>
      <c r="O43" s="547"/>
      <c r="P43" s="1281"/>
      <c r="Q43" s="1297">
        <f>18600</f>
        <v>18600</v>
      </c>
      <c r="R43" s="572"/>
      <c r="S43" s="572"/>
      <c r="T43" s="572"/>
      <c r="U43" s="572"/>
      <c r="V43" s="572"/>
    </row>
    <row r="44" spans="1:22" s="573" customFormat="1" ht="18" customHeight="1" x14ac:dyDescent="0.25">
      <c r="A44" s="583">
        <v>244</v>
      </c>
      <c r="B44" s="561">
        <v>226</v>
      </c>
      <c r="C44" s="538" t="s">
        <v>724</v>
      </c>
      <c r="D44" s="553" t="s">
        <v>725</v>
      </c>
      <c r="E44" s="538"/>
      <c r="F44" s="563"/>
      <c r="G44" s="544"/>
      <c r="H44" s="545">
        <f>SUM(H45:H45)</f>
        <v>80000</v>
      </c>
      <c r="I44" s="545">
        <f>SUM(I45:I45)</f>
        <v>0</v>
      </c>
      <c r="J44" s="544">
        <f>SUM(J45:J45)</f>
        <v>0</v>
      </c>
      <c r="K44" s="545"/>
      <c r="L44" s="563"/>
      <c r="M44" s="544"/>
      <c r="N44" s="545">
        <f>SUM(N45:N45)</f>
        <v>80000</v>
      </c>
      <c r="O44" s="545">
        <f>SUM(O45:O45)</f>
        <v>0</v>
      </c>
      <c r="P44" s="1141">
        <f>SUM(P45:P45)</f>
        <v>0</v>
      </c>
      <c r="Q44" s="779"/>
      <c r="R44" s="572"/>
      <c r="S44" s="572"/>
      <c r="T44" s="572"/>
      <c r="U44" s="572"/>
      <c r="V44" s="572"/>
    </row>
    <row r="45" spans="1:22" s="573" customFormat="1" ht="15.75" customHeight="1" x14ac:dyDescent="0.25">
      <c r="A45" s="586"/>
      <c r="B45" s="1121"/>
      <c r="C45" s="534"/>
      <c r="D45" s="813" t="s">
        <v>855</v>
      </c>
      <c r="E45" s="534" t="s">
        <v>718</v>
      </c>
      <c r="F45" s="565">
        <v>1</v>
      </c>
      <c r="G45" s="547">
        <f>(H45+I45+J45)/F45</f>
        <v>80000</v>
      </c>
      <c r="H45" s="549">
        <v>80000</v>
      </c>
      <c r="I45" s="549"/>
      <c r="J45" s="549"/>
      <c r="K45" s="549"/>
      <c r="L45" s="565">
        <v>1</v>
      </c>
      <c r="M45" s="547">
        <f>(N45+O45+P45)/L45</f>
        <v>80000</v>
      </c>
      <c r="N45" s="549">
        <v>80000</v>
      </c>
      <c r="O45" s="549"/>
      <c r="P45" s="549"/>
      <c r="Q45" s="804"/>
      <c r="R45" s="572"/>
      <c r="S45" s="572"/>
      <c r="T45" s="572"/>
      <c r="U45" s="572"/>
      <c r="V45" s="572"/>
    </row>
    <row r="46" spans="1:22" s="573" customFormat="1" ht="42" customHeight="1" x14ac:dyDescent="0.25">
      <c r="A46" s="583">
        <v>244</v>
      </c>
      <c r="B46" s="561">
        <v>340</v>
      </c>
      <c r="C46" s="538" t="s">
        <v>726</v>
      </c>
      <c r="D46" s="553" t="s">
        <v>727</v>
      </c>
      <c r="E46" s="538"/>
      <c r="F46" s="563"/>
      <c r="G46" s="544"/>
      <c r="H46" s="545">
        <f>SUM(H47:H47)</f>
        <v>100000</v>
      </c>
      <c r="I46" s="545">
        <f t="shared" ref="I46:J46" si="21">I47</f>
        <v>0</v>
      </c>
      <c r="J46" s="545">
        <f t="shared" si="21"/>
        <v>0</v>
      </c>
      <c r="K46" s="544"/>
      <c r="L46" s="563"/>
      <c r="M46" s="544"/>
      <c r="N46" s="545">
        <f>SUM(N47:N47)</f>
        <v>100000</v>
      </c>
      <c r="O46" s="545">
        <f t="shared" ref="O46:P46" si="22">O47</f>
        <v>0</v>
      </c>
      <c r="P46" s="1141">
        <f t="shared" si="22"/>
        <v>0</v>
      </c>
      <c r="Q46" s="779"/>
      <c r="R46" s="572"/>
      <c r="S46" s="572"/>
      <c r="T46" s="572"/>
      <c r="U46" s="572"/>
      <c r="V46" s="572"/>
    </row>
    <row r="47" spans="1:22" s="573" customFormat="1" ht="17.25" customHeight="1" x14ac:dyDescent="0.25">
      <c r="A47" s="586"/>
      <c r="B47" s="1121"/>
      <c r="C47" s="534"/>
      <c r="D47" s="813" t="s">
        <v>855</v>
      </c>
      <c r="E47" s="534" t="s">
        <v>718</v>
      </c>
      <c r="F47" s="565">
        <v>1</v>
      </c>
      <c r="G47" s="547">
        <f>(H47+I47+J47)/F47</f>
        <v>100000</v>
      </c>
      <c r="H47" s="549">
        <v>100000</v>
      </c>
      <c r="I47" s="549"/>
      <c r="J47" s="549"/>
      <c r="K47" s="548"/>
      <c r="L47" s="565">
        <v>1</v>
      </c>
      <c r="M47" s="547">
        <f>(N47+O47+P47)/L47</f>
        <v>100000</v>
      </c>
      <c r="N47" s="549">
        <v>100000</v>
      </c>
      <c r="O47" s="549"/>
      <c r="P47" s="1089"/>
      <c r="Q47" s="804"/>
      <c r="R47" s="572"/>
      <c r="S47" s="572"/>
      <c r="T47" s="572"/>
      <c r="U47" s="572"/>
      <c r="V47" s="572"/>
    </row>
    <row r="48" spans="1:22" s="573" customFormat="1" ht="34.5" customHeight="1" x14ac:dyDescent="0.25">
      <c r="A48" s="1756" t="s">
        <v>706</v>
      </c>
      <c r="B48" s="1757"/>
      <c r="C48" s="1757"/>
      <c r="D48" s="1757"/>
      <c r="E48" s="1757"/>
      <c r="F48" s="567"/>
      <c r="G48" s="567"/>
      <c r="H48" s="567">
        <f>H49+H53+H54</f>
        <v>2153200</v>
      </c>
      <c r="I48" s="567">
        <f t="shared" ref="I48:J48" si="23">I49+I53+I54</f>
        <v>0</v>
      </c>
      <c r="J48" s="996">
        <f t="shared" si="23"/>
        <v>0</v>
      </c>
      <c r="K48" s="996"/>
      <c r="L48" s="567"/>
      <c r="M48" s="567"/>
      <c r="N48" s="567">
        <f>N49+N53+N54</f>
        <v>2153200</v>
      </c>
      <c r="O48" s="567">
        <f t="shared" ref="O48" si="24">O49+O53+O54</f>
        <v>0</v>
      </c>
      <c r="P48" s="567">
        <f t="shared" ref="P48" si="25">P49+P53+P54</f>
        <v>0</v>
      </c>
      <c r="Q48" s="996"/>
      <c r="R48" s="572"/>
      <c r="S48" s="572"/>
      <c r="T48" s="572"/>
      <c r="U48" s="572"/>
      <c r="V48" s="572"/>
    </row>
    <row r="49" spans="1:22" s="573" customFormat="1" ht="25.5" customHeight="1" x14ac:dyDescent="0.25">
      <c r="A49" s="1122">
        <v>247</v>
      </c>
      <c r="B49" s="1124">
        <v>223</v>
      </c>
      <c r="C49" s="1122">
        <v>931</v>
      </c>
      <c r="D49" s="558" t="s">
        <v>707</v>
      </c>
      <c r="E49" s="583"/>
      <c r="F49" s="563"/>
      <c r="G49" s="545"/>
      <c r="H49" s="544">
        <f>SUM(H50:H52)</f>
        <v>1244600</v>
      </c>
      <c r="I49" s="545">
        <f t="shared" ref="I49:J49" si="26">I52</f>
        <v>0</v>
      </c>
      <c r="J49" s="796">
        <f t="shared" si="26"/>
        <v>0</v>
      </c>
      <c r="K49" s="796"/>
      <c r="L49" s="563"/>
      <c r="M49" s="545"/>
      <c r="N49" s="796">
        <f>SUM(N50:N52)</f>
        <v>1244600</v>
      </c>
      <c r="O49" s="545">
        <f t="shared" ref="O49:P49" si="27">O52</f>
        <v>0</v>
      </c>
      <c r="P49" s="545">
        <f t="shared" si="27"/>
        <v>0</v>
      </c>
      <c r="Q49" s="779"/>
      <c r="R49" s="572"/>
      <c r="S49" s="572"/>
      <c r="T49" s="572"/>
      <c r="U49" s="572"/>
      <c r="V49" s="572"/>
    </row>
    <row r="50" spans="1:22" s="573" customFormat="1" x14ac:dyDescent="0.25">
      <c r="A50" s="535"/>
      <c r="B50" s="530"/>
      <c r="C50" s="535"/>
      <c r="D50" s="557" t="s">
        <v>373</v>
      </c>
      <c r="E50" s="587" t="s">
        <v>371</v>
      </c>
      <c r="F50" s="564">
        <v>626</v>
      </c>
      <c r="G50" s="547">
        <f>(H50+I50+K50+J50)/F50</f>
        <v>1932.59</v>
      </c>
      <c r="H50" s="546">
        <v>1209800</v>
      </c>
      <c r="I50" s="547"/>
      <c r="J50" s="803"/>
      <c r="K50" s="803"/>
      <c r="L50" s="564">
        <v>626</v>
      </c>
      <c r="M50" s="547">
        <f>(N50+O50+Q50+R50)/L50</f>
        <v>1932.59</v>
      </c>
      <c r="N50" s="546">
        <v>1209800</v>
      </c>
      <c r="O50" s="547"/>
      <c r="P50" s="547"/>
      <c r="Q50" s="546"/>
      <c r="R50" s="572"/>
      <c r="S50" s="572"/>
      <c r="T50" s="572"/>
      <c r="U50" s="572"/>
      <c r="V50" s="572"/>
    </row>
    <row r="51" spans="1:22" s="573" customFormat="1" x14ac:dyDescent="0.25">
      <c r="A51" s="535"/>
      <c r="B51" s="530"/>
      <c r="C51" s="535"/>
      <c r="D51" s="557" t="s">
        <v>372</v>
      </c>
      <c r="E51" s="587" t="s">
        <v>371</v>
      </c>
      <c r="F51" s="564">
        <v>15.96</v>
      </c>
      <c r="G51" s="547">
        <f>(H51+I51+K51+J51)/F51</f>
        <v>1961.15</v>
      </c>
      <c r="H51" s="546">
        <v>31300</v>
      </c>
      <c r="I51" s="547"/>
      <c r="J51" s="803"/>
      <c r="K51" s="803"/>
      <c r="L51" s="564">
        <v>15.96</v>
      </c>
      <c r="M51" s="547">
        <f>(N51+O51+Q51+R51)/L51</f>
        <v>1961.15</v>
      </c>
      <c r="N51" s="546">
        <v>31300</v>
      </c>
      <c r="O51" s="547"/>
      <c r="P51" s="547"/>
      <c r="Q51" s="546"/>
      <c r="R51" s="572"/>
      <c r="S51" s="572"/>
      <c r="T51" s="572"/>
      <c r="U51" s="572"/>
      <c r="V51" s="572"/>
    </row>
    <row r="52" spans="1:22" s="573" customFormat="1" ht="13.5" customHeight="1" x14ac:dyDescent="0.25">
      <c r="A52" s="536"/>
      <c r="B52" s="533"/>
      <c r="C52" s="536"/>
      <c r="D52" s="559" t="s">
        <v>374</v>
      </c>
      <c r="E52" s="586" t="s">
        <v>435</v>
      </c>
      <c r="F52" s="565">
        <v>266</v>
      </c>
      <c r="G52" s="549">
        <f>(H52+I52+K52+J52)/F52</f>
        <v>13.16</v>
      </c>
      <c r="H52" s="548">
        <v>3500</v>
      </c>
      <c r="I52" s="549"/>
      <c r="J52" s="804"/>
      <c r="K52" s="804"/>
      <c r="L52" s="565">
        <v>266</v>
      </c>
      <c r="M52" s="549">
        <f>(N52+O52+Q52+R52)/L52</f>
        <v>13.16</v>
      </c>
      <c r="N52" s="548">
        <v>3500</v>
      </c>
      <c r="O52" s="549"/>
      <c r="P52" s="549"/>
      <c r="Q52" s="546"/>
      <c r="R52" s="572"/>
      <c r="S52" s="572"/>
      <c r="T52" s="572"/>
      <c r="U52" s="572"/>
      <c r="V52" s="572"/>
    </row>
    <row r="53" spans="1:22" s="573" customFormat="1" ht="25.5" customHeight="1" x14ac:dyDescent="0.25">
      <c r="A53" s="1123">
        <v>247</v>
      </c>
      <c r="B53" s="1123">
        <v>223</v>
      </c>
      <c r="C53" s="1123">
        <v>932</v>
      </c>
      <c r="D53" s="1038" t="s">
        <v>708</v>
      </c>
      <c r="E53" s="1008" t="s">
        <v>709</v>
      </c>
      <c r="F53" s="1010">
        <v>34945</v>
      </c>
      <c r="G53" s="577">
        <f>(H53+I53+J53)/F53</f>
        <v>4.5999999999999996</v>
      </c>
      <c r="H53" s="575">
        <v>160700</v>
      </c>
      <c r="I53" s="575"/>
      <c r="J53" s="998"/>
      <c r="K53" s="998"/>
      <c r="L53" s="1010">
        <v>34945</v>
      </c>
      <c r="M53" s="577">
        <f>(N53+O53+P53)/L53</f>
        <v>4.5999999999999996</v>
      </c>
      <c r="N53" s="575">
        <v>160700</v>
      </c>
      <c r="O53" s="575"/>
      <c r="P53" s="575"/>
      <c r="Q53" s="796"/>
      <c r="R53" s="572"/>
      <c r="S53" s="572"/>
      <c r="T53" s="572"/>
      <c r="U53" s="572"/>
      <c r="V53" s="572"/>
    </row>
    <row r="54" spans="1:22" s="573" customFormat="1" ht="25.5" customHeight="1" x14ac:dyDescent="0.25">
      <c r="A54" s="561">
        <v>244</v>
      </c>
      <c r="B54" s="538">
        <v>223</v>
      </c>
      <c r="C54" s="561" t="s">
        <v>710</v>
      </c>
      <c r="D54" s="558" t="s">
        <v>711</v>
      </c>
      <c r="E54" s="990"/>
      <c r="F54" s="584"/>
      <c r="G54" s="581"/>
      <c r="H54" s="545">
        <f>SUM(H55:H57)</f>
        <v>747900</v>
      </c>
      <c r="I54" s="545">
        <f t="shared" ref="I54:J54" si="28">SUM(I55:I57)</f>
        <v>0</v>
      </c>
      <c r="J54" s="796">
        <f t="shared" si="28"/>
        <v>0</v>
      </c>
      <c r="K54" s="796"/>
      <c r="L54" s="584"/>
      <c r="M54" s="581"/>
      <c r="N54" s="545">
        <f>SUM(N55:N57)</f>
        <v>747900</v>
      </c>
      <c r="O54" s="545">
        <f t="shared" ref="O54:P54" si="29">SUM(O55:O57)</f>
        <v>0</v>
      </c>
      <c r="P54" s="545">
        <f t="shared" si="29"/>
        <v>0</v>
      </c>
      <c r="Q54" s="796"/>
      <c r="R54" s="572"/>
      <c r="S54" s="572"/>
      <c r="T54" s="572"/>
      <c r="U54" s="572"/>
      <c r="V54" s="572"/>
    </row>
    <row r="55" spans="1:22" s="573" customFormat="1" ht="21.75" customHeight="1" x14ac:dyDescent="0.25">
      <c r="A55" s="535"/>
      <c r="B55" s="530"/>
      <c r="C55" s="535"/>
      <c r="D55" s="557" t="s">
        <v>712</v>
      </c>
      <c r="E55" s="587" t="s">
        <v>714</v>
      </c>
      <c r="F55" s="564">
        <v>4263</v>
      </c>
      <c r="G55" s="547">
        <f>(H55+I55+K55+J55)/F55</f>
        <v>74.31</v>
      </c>
      <c r="H55" s="547">
        <v>316800</v>
      </c>
      <c r="I55" s="547"/>
      <c r="J55" s="547"/>
      <c r="K55" s="546"/>
      <c r="L55" s="564">
        <v>4263</v>
      </c>
      <c r="M55" s="547">
        <f>(N55+O55+Q55+R55)/L55</f>
        <v>74.31</v>
      </c>
      <c r="N55" s="547">
        <v>316800</v>
      </c>
      <c r="O55" s="547"/>
      <c r="P55" s="809"/>
      <c r="Q55" s="546"/>
      <c r="R55" s="572"/>
      <c r="S55" s="572"/>
      <c r="T55" s="572"/>
      <c r="U55" s="572"/>
      <c r="V55" s="572"/>
    </row>
    <row r="56" spans="1:22" s="573" customFormat="1" ht="21.75" customHeight="1" x14ac:dyDescent="0.25">
      <c r="A56" s="1120"/>
      <c r="B56" s="531"/>
      <c r="C56" s="1120"/>
      <c r="D56" s="557" t="s">
        <v>375</v>
      </c>
      <c r="E56" s="587" t="s">
        <v>714</v>
      </c>
      <c r="F56" s="564">
        <v>4195</v>
      </c>
      <c r="G56" s="547">
        <f>(H56+I56+K56+J56)/F56</f>
        <v>68.510000000000005</v>
      </c>
      <c r="H56" s="547">
        <v>287400</v>
      </c>
      <c r="I56" s="547"/>
      <c r="J56" s="547"/>
      <c r="K56" s="546"/>
      <c r="L56" s="564">
        <v>4195</v>
      </c>
      <c r="M56" s="547">
        <f>(N56+O56+Q56+R56)/L56</f>
        <v>68.510000000000005</v>
      </c>
      <c r="N56" s="547">
        <v>287400</v>
      </c>
      <c r="O56" s="547"/>
      <c r="P56" s="809"/>
      <c r="Q56" s="546"/>
      <c r="R56" s="572"/>
      <c r="S56" s="572"/>
      <c r="T56" s="572"/>
      <c r="U56" s="572"/>
      <c r="V56" s="572"/>
    </row>
    <row r="57" spans="1:22" s="573" customFormat="1" ht="21.75" customHeight="1" x14ac:dyDescent="0.25">
      <c r="A57" s="1121"/>
      <c r="B57" s="534"/>
      <c r="C57" s="1121"/>
      <c r="D57" s="559" t="s">
        <v>713</v>
      </c>
      <c r="E57" s="586" t="s">
        <v>714</v>
      </c>
      <c r="F57" s="565">
        <f>F56*0.5</f>
        <v>2097.5</v>
      </c>
      <c r="G57" s="549">
        <f>(H57+I57+K57+J57)/F57</f>
        <v>68.510000000000005</v>
      </c>
      <c r="H57" s="549">
        <f>H56*0.5</f>
        <v>143700</v>
      </c>
      <c r="I57" s="549"/>
      <c r="J57" s="549"/>
      <c r="K57" s="548"/>
      <c r="L57" s="565">
        <f>L56*0.5</f>
        <v>2097.5</v>
      </c>
      <c r="M57" s="549">
        <f>(N57+O57+Q57+R57)/L57</f>
        <v>68.510000000000005</v>
      </c>
      <c r="N57" s="549">
        <f>N56*0.5</f>
        <v>143700</v>
      </c>
      <c r="O57" s="549"/>
      <c r="P57" s="1089"/>
      <c r="Q57" s="804"/>
      <c r="R57" s="572"/>
      <c r="S57" s="572"/>
      <c r="T57" s="572"/>
      <c r="U57" s="572"/>
      <c r="V57" s="572"/>
    </row>
    <row r="58" spans="1:22" s="573" customFormat="1" ht="21.75" customHeight="1" x14ac:dyDescent="0.25">
      <c r="A58" s="1773" t="s">
        <v>614</v>
      </c>
      <c r="B58" s="1813"/>
      <c r="C58" s="1813"/>
      <c r="D58" s="1813"/>
      <c r="E58" s="1813"/>
      <c r="F58" s="543"/>
      <c r="G58" s="1265"/>
      <c r="H58" s="1916"/>
      <c r="I58" s="1750">
        <f>I60</f>
        <v>100000</v>
      </c>
      <c r="J58" s="1916"/>
      <c r="K58" s="1916"/>
      <c r="L58" s="1927"/>
      <c r="M58" s="1916"/>
      <c r="N58" s="1916"/>
      <c r="O58" s="1750">
        <f>O60</f>
        <v>100000</v>
      </c>
      <c r="P58" s="1916"/>
      <c r="Q58" s="1920"/>
      <c r="R58" s="572"/>
      <c r="S58" s="572"/>
      <c r="T58" s="572"/>
      <c r="U58" s="572"/>
      <c r="V58" s="572"/>
    </row>
    <row r="59" spans="1:22" s="573" customFormat="1" ht="21.75" customHeight="1" x14ac:dyDescent="0.25">
      <c r="A59" s="1754"/>
      <c r="B59" s="1755"/>
      <c r="C59" s="1755"/>
      <c r="D59" s="1755"/>
      <c r="E59" s="1755"/>
      <c r="F59" s="550"/>
      <c r="G59" s="1266"/>
      <c r="H59" s="1917"/>
      <c r="I59" s="1919"/>
      <c r="J59" s="1918"/>
      <c r="K59" s="1917"/>
      <c r="L59" s="1928"/>
      <c r="M59" s="1917"/>
      <c r="N59" s="1918"/>
      <c r="O59" s="1919"/>
      <c r="P59" s="1917"/>
      <c r="Q59" s="1921"/>
      <c r="R59" s="572"/>
      <c r="S59" s="572"/>
      <c r="T59" s="572"/>
      <c r="U59" s="572"/>
      <c r="V59" s="572"/>
    </row>
    <row r="60" spans="1:22" s="573" customFormat="1" ht="25.2" customHeight="1" x14ac:dyDescent="0.25">
      <c r="A60" s="1272">
        <v>321</v>
      </c>
      <c r="B60" s="1272">
        <v>265</v>
      </c>
      <c r="C60" s="1272">
        <v>917</v>
      </c>
      <c r="D60" s="540" t="s">
        <v>861</v>
      </c>
      <c r="E60" s="583" t="s">
        <v>182</v>
      </c>
      <c r="F60" s="563">
        <v>3</v>
      </c>
      <c r="G60" s="545">
        <f>(H60+I60+K60)/F60</f>
        <v>33333.33</v>
      </c>
      <c r="H60" s="1295"/>
      <c r="I60" s="724">
        <v>100000</v>
      </c>
      <c r="J60" s="547"/>
      <c r="K60" s="1295"/>
      <c r="L60" s="566">
        <v>3</v>
      </c>
      <c r="M60" s="724">
        <f>(N60+O60+P60+Q60)/L60</f>
        <v>33333.33</v>
      </c>
      <c r="N60" s="547"/>
      <c r="O60" s="724">
        <v>100000</v>
      </c>
      <c r="P60" s="1295"/>
      <c r="Q60" s="804"/>
      <c r="R60" s="572"/>
      <c r="S60" s="572"/>
      <c r="T60" s="572"/>
      <c r="U60" s="572"/>
      <c r="V60" s="572"/>
    </row>
    <row r="61" spans="1:22" ht="13.8" thickBot="1" x14ac:dyDescent="0.3">
      <c r="A61" s="899"/>
      <c r="B61" s="900"/>
      <c r="C61" s="900"/>
      <c r="D61" s="901" t="s">
        <v>8</v>
      </c>
      <c r="E61" s="1009"/>
      <c r="F61" s="1011"/>
      <c r="G61" s="902"/>
      <c r="H61" s="902">
        <f>H48+H20+H17+H12+H8</f>
        <v>55740300</v>
      </c>
      <c r="I61" s="902">
        <f>I48+I20+I17+I12+I8+I58</f>
        <v>1060300</v>
      </c>
      <c r="J61" s="902">
        <f>J48+J20+J17+J12+J8</f>
        <v>160000</v>
      </c>
      <c r="K61" s="902">
        <f>K8+K12+K17+K20+K48+K31</f>
        <v>339300</v>
      </c>
      <c r="L61" s="1011"/>
      <c r="M61" s="902"/>
      <c r="N61" s="902">
        <f>N48+N20+N17+N12+N8</f>
        <v>55740300</v>
      </c>
      <c r="O61" s="902">
        <f>O48+O20+O17+O12+O8+O58</f>
        <v>1060300</v>
      </c>
      <c r="P61" s="902">
        <f>P48+P20+P17+P12+P8</f>
        <v>160000</v>
      </c>
      <c r="Q61" s="1292">
        <f>Q8+Q12+Q17+Q20+Q48+Q58</f>
        <v>339300</v>
      </c>
    </row>
    <row r="62" spans="1:22" ht="15.75" customHeight="1" x14ac:dyDescent="0.25">
      <c r="H62" s="789">
        <f>'поступления 831, 841 26-28'!H10</f>
        <v>55740300</v>
      </c>
      <c r="I62" s="789">
        <f>'поступления 831, 841 26-28'!J19</f>
        <v>1060300</v>
      </c>
      <c r="J62" s="789">
        <f>'поступления 831, 841 26-28'!J18</f>
        <v>160000</v>
      </c>
      <c r="K62" s="1273">
        <f>'поступления 831, 841 26-28'!J20</f>
        <v>339300</v>
      </c>
      <c r="L62" s="1042"/>
      <c r="M62" s="1042"/>
      <c r="N62" s="789">
        <f>'поступления 831, 841 26-28'!I8</f>
        <v>55740300</v>
      </c>
      <c r="O62" s="789">
        <f>'поступления 831, 841 26-28'!L19</f>
        <v>1060300</v>
      </c>
      <c r="P62" s="789">
        <f>'поступления 831, 841 26-28'!L18</f>
        <v>160000</v>
      </c>
      <c r="Q62" s="1273">
        <f>'поступления 831, 841 26-28'!L20</f>
        <v>339300</v>
      </c>
    </row>
    <row r="63" spans="1:22" ht="14.25" customHeight="1" x14ac:dyDescent="0.25">
      <c r="A63" s="1269" t="s">
        <v>128</v>
      </c>
      <c r="B63" s="1929" t="s">
        <v>895</v>
      </c>
      <c r="C63" s="1929"/>
      <c r="D63" s="1929"/>
      <c r="H63" s="789">
        <f>H61-H62</f>
        <v>0</v>
      </c>
      <c r="I63" s="789">
        <f>I61-I62</f>
        <v>0</v>
      </c>
      <c r="J63" s="789">
        <f>J61-J62</f>
        <v>0</v>
      </c>
      <c r="K63" s="1273">
        <f>K61-K62</f>
        <v>0</v>
      </c>
      <c r="L63" s="1042"/>
      <c r="M63" s="1042"/>
      <c r="N63" s="789">
        <f>N61-N62</f>
        <v>0</v>
      </c>
      <c r="O63" s="789">
        <f>O61-O62</f>
        <v>0</v>
      </c>
      <c r="P63" s="789">
        <f>P61-P62</f>
        <v>0</v>
      </c>
      <c r="Q63" s="1273">
        <f>Q61-Q62</f>
        <v>0</v>
      </c>
    </row>
    <row r="64" spans="1:22" ht="12.75" customHeight="1" x14ac:dyDescent="0.25">
      <c r="A64" s="1745" t="s">
        <v>778</v>
      </c>
      <c r="B64" s="1745"/>
      <c r="C64" s="1745"/>
      <c r="D64" s="1745"/>
      <c r="H64" s="789">
        <f>H61-КВР!G98</f>
        <v>0</v>
      </c>
      <c r="I64" s="1915">
        <f>I61+J61+K61-КВР!H97</f>
        <v>0</v>
      </c>
      <c r="J64" s="1915"/>
      <c r="K64" s="1915"/>
      <c r="L64" s="1042"/>
      <c r="M64" s="1042"/>
      <c r="N64" s="789">
        <f>N61-'поступления 831, 841 26-28'!I8</f>
        <v>0</v>
      </c>
      <c r="O64" s="1915">
        <f>O61+P61+Q61-КВР!L98</f>
        <v>0</v>
      </c>
      <c r="P64" s="1915"/>
      <c r="Q64" s="1915"/>
    </row>
    <row r="65" spans="1:17" ht="12.75" customHeight="1" x14ac:dyDescent="0.25">
      <c r="A65" s="1745"/>
      <c r="B65" s="1745"/>
      <c r="C65" s="1745"/>
      <c r="D65" s="1745"/>
      <c r="H65" s="789"/>
      <c r="I65" s="789"/>
      <c r="J65" s="789"/>
      <c r="K65" s="1273"/>
      <c r="L65" s="1042"/>
      <c r="M65" s="1042"/>
      <c r="N65" s="789"/>
      <c r="O65" s="789"/>
      <c r="P65" s="789"/>
      <c r="Q65" s="1273"/>
    </row>
    <row r="75" spans="1:17" x14ac:dyDescent="0.25">
      <c r="A75" s="908"/>
    </row>
    <row r="76" spans="1:17" x14ac:dyDescent="0.25">
      <c r="A76" s="908"/>
    </row>
    <row r="77" spans="1:17" x14ac:dyDescent="0.25">
      <c r="A77" s="908"/>
    </row>
    <row r="79" spans="1:17" x14ac:dyDescent="0.25">
      <c r="A79" s="908"/>
      <c r="B79" s="908"/>
      <c r="C79" s="908"/>
      <c r="D79" s="906"/>
    </row>
    <row r="80" spans="1:17" x14ac:dyDescent="0.25">
      <c r="A80" s="908"/>
      <c r="B80" s="908"/>
      <c r="C80" s="908"/>
      <c r="D80" s="906"/>
    </row>
    <row r="81" spans="1:4" x14ac:dyDescent="0.25">
      <c r="A81" s="908"/>
      <c r="B81" s="908"/>
      <c r="C81" s="908"/>
      <c r="D81" s="906"/>
    </row>
    <row r="82" spans="1:4" x14ac:dyDescent="0.25">
      <c r="A82" s="825"/>
      <c r="B82" s="908"/>
      <c r="C82" s="908"/>
      <c r="D82" s="906"/>
    </row>
    <row r="83" spans="1:4" x14ac:dyDescent="0.25">
      <c r="A83" s="908"/>
      <c r="B83" s="908"/>
      <c r="C83" s="908"/>
      <c r="D83" s="906"/>
    </row>
    <row r="84" spans="1:4" x14ac:dyDescent="0.25">
      <c r="A84" s="908"/>
      <c r="B84" s="908"/>
      <c r="C84" s="908"/>
      <c r="D84" s="906"/>
    </row>
    <row r="85" spans="1:4" x14ac:dyDescent="0.25">
      <c r="A85" s="908"/>
      <c r="B85" s="908"/>
      <c r="C85" s="908"/>
      <c r="D85" s="906"/>
    </row>
    <row r="88" spans="1:4" x14ac:dyDescent="0.25">
      <c r="A88" s="908"/>
    </row>
    <row r="90" spans="1:4" x14ac:dyDescent="0.25">
      <c r="A90" s="825"/>
    </row>
    <row r="92" spans="1:4" x14ac:dyDescent="0.25">
      <c r="A92" s="908"/>
    </row>
    <row r="97" spans="1:1" x14ac:dyDescent="0.25">
      <c r="A97" s="908"/>
    </row>
    <row r="193" spans="27:27" x14ac:dyDescent="0.25">
      <c r="AA193" s="529">
        <f>Y193*Z193</f>
        <v>0</v>
      </c>
    </row>
  </sheetData>
  <mergeCells count="41">
    <mergeCell ref="A1:Q1"/>
    <mergeCell ref="A2:Q2"/>
    <mergeCell ref="A3:J3"/>
    <mergeCell ref="B63:D63"/>
    <mergeCell ref="A48:E48"/>
    <mergeCell ref="F4:K4"/>
    <mergeCell ref="N5:Q5"/>
    <mergeCell ref="N4:Q4"/>
    <mergeCell ref="O6:Q6"/>
    <mergeCell ref="M5:M7"/>
    <mergeCell ref="B4:B7"/>
    <mergeCell ref="A4:A7"/>
    <mergeCell ref="E4:E7"/>
    <mergeCell ref="F5:F7"/>
    <mergeCell ref="G5:G7"/>
    <mergeCell ref="H6:H7"/>
    <mergeCell ref="A65:D65"/>
    <mergeCell ref="A8:E8"/>
    <mergeCell ref="A12:E12"/>
    <mergeCell ref="A20:E20"/>
    <mergeCell ref="L5:L7"/>
    <mergeCell ref="I6:K6"/>
    <mergeCell ref="H5:K5"/>
    <mergeCell ref="A58:E59"/>
    <mergeCell ref="H58:H59"/>
    <mergeCell ref="I58:I59"/>
    <mergeCell ref="J58:J59"/>
    <mergeCell ref="K58:K59"/>
    <mergeCell ref="L58:L59"/>
    <mergeCell ref="A17:E17"/>
    <mergeCell ref="C4:C7"/>
    <mergeCell ref="A64:D64"/>
    <mergeCell ref="N6:N7"/>
    <mergeCell ref="D4:D7"/>
    <mergeCell ref="O64:Q64"/>
    <mergeCell ref="I64:K64"/>
    <mergeCell ref="M58:M59"/>
    <mergeCell ref="N58:N59"/>
    <mergeCell ref="O58:O59"/>
    <mergeCell ref="P58:P59"/>
    <mergeCell ref="Q58:Q59"/>
  </mergeCells>
  <pageMargins left="0.39370078740157483" right="0.39370078740157483" top="1.1811023622047245" bottom="0.39370078740157483" header="0.31496062992125984" footer="0.31496062992125984"/>
  <pageSetup paperSize="9" scale="48" fitToHeight="0" orientation="landscape" r:id="rId1"/>
  <rowBreaks count="1" manualBreakCount="1">
    <brk id="6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AA209"/>
  <sheetViews>
    <sheetView view="pageBreakPreview" zoomScale="70" zoomScaleNormal="100" zoomScaleSheetLayoutView="70" workbookViewId="0">
      <pane ySplit="8" topLeftCell="A54" activePane="bottomLeft" state="frozen"/>
      <selection pane="bottomLeft" activeCell="A2" sqref="A2:K2"/>
    </sheetView>
  </sheetViews>
  <sheetFormatPr defaultColWidth="9.33203125" defaultRowHeight="13.2" x14ac:dyDescent="0.25"/>
  <cols>
    <col min="1" max="1" width="7.77734375" style="926" customWidth="1"/>
    <col min="2" max="3" width="9.33203125" style="926"/>
    <col min="4" max="4" width="55.77734375" style="841" customWidth="1"/>
    <col min="5" max="5" width="9.77734375" style="786" customWidth="1"/>
    <col min="6" max="6" width="12" style="787" customWidth="1"/>
    <col min="7" max="7" width="18.6640625" style="788" bestFit="1" customWidth="1"/>
    <col min="8" max="8" width="19.6640625" style="788" customWidth="1"/>
    <col min="9" max="9" width="12" style="787" customWidth="1"/>
    <col min="10" max="10" width="18.6640625" style="788" bestFit="1" customWidth="1"/>
    <col min="11" max="11" width="19.77734375" style="788" customWidth="1"/>
    <col min="12" max="12" width="26.33203125" style="817" customWidth="1"/>
    <col min="13" max="13" width="86.77734375" style="881" customWidth="1"/>
    <col min="14" max="14" width="15.109375" style="925" customWidth="1"/>
    <col min="15" max="15" width="15" style="925" customWidth="1"/>
    <col min="16" max="16" width="63.33203125" style="528" customWidth="1"/>
    <col min="17" max="18" width="9.33203125" style="528"/>
    <col min="19" max="19" width="36.77734375" style="528" customWidth="1"/>
    <col min="20" max="22" width="9.33203125" style="528"/>
    <col min="23" max="16384" width="9.33203125" style="529"/>
  </cols>
  <sheetData>
    <row r="1" spans="1:22" ht="16.8" x14ac:dyDescent="0.25">
      <c r="A1" s="1835" t="s">
        <v>917</v>
      </c>
      <c r="B1" s="1835"/>
      <c r="C1" s="1835"/>
      <c r="D1" s="1835"/>
      <c r="E1" s="1835"/>
      <c r="F1" s="1835"/>
      <c r="G1" s="1835"/>
      <c r="H1" s="1835"/>
      <c r="I1" s="1835"/>
      <c r="J1" s="1835"/>
      <c r="K1" s="1835"/>
    </row>
    <row r="2" spans="1:22" ht="20.399999999999999" x14ac:dyDescent="0.25">
      <c r="A2" s="1835" t="s">
        <v>773</v>
      </c>
      <c r="B2" s="1835"/>
      <c r="C2" s="1835"/>
      <c r="D2" s="1835"/>
      <c r="E2" s="1835"/>
      <c r="F2" s="1835"/>
      <c r="G2" s="1835"/>
      <c r="H2" s="1835"/>
      <c r="I2" s="1835"/>
      <c r="J2" s="1835"/>
      <c r="K2" s="1835"/>
      <c r="L2" s="818"/>
      <c r="M2" s="882"/>
      <c r="N2" s="502"/>
    </row>
    <row r="3" spans="1:22" ht="17.399999999999999" x14ac:dyDescent="0.25">
      <c r="A3" s="1746" t="s">
        <v>784</v>
      </c>
      <c r="B3" s="1746"/>
      <c r="C3" s="1746"/>
      <c r="D3" s="1746"/>
      <c r="E3" s="1746"/>
      <c r="F3" s="1746"/>
      <c r="G3" s="1746"/>
      <c r="H3" s="1746"/>
      <c r="I3" s="909"/>
      <c r="J3" s="909"/>
      <c r="K3" s="909"/>
      <c r="L3" s="819"/>
      <c r="M3" s="883"/>
      <c r="N3" s="849"/>
    </row>
    <row r="4" spans="1:22" s="573" customFormat="1" x14ac:dyDescent="0.25">
      <c r="A4" s="772"/>
      <c r="B4" s="772"/>
      <c r="C4" s="772"/>
      <c r="D4" s="889"/>
      <c r="E4" s="773"/>
      <c r="F4" s="774"/>
      <c r="G4" s="775"/>
      <c r="H4" s="775"/>
      <c r="I4" s="774"/>
      <c r="J4" s="775"/>
      <c r="K4" s="775"/>
      <c r="L4" s="820"/>
      <c r="M4" s="884"/>
      <c r="N4" s="776"/>
      <c r="O4" s="776"/>
      <c r="P4" s="572"/>
      <c r="Q4" s="572"/>
      <c r="R4" s="572"/>
      <c r="S4" s="572"/>
      <c r="T4" s="572"/>
      <c r="U4" s="572"/>
      <c r="V4" s="572"/>
    </row>
    <row r="5" spans="1:22" s="573" customFormat="1" x14ac:dyDescent="0.25">
      <c r="A5" s="1747" t="s">
        <v>621</v>
      </c>
      <c r="B5" s="1747" t="s">
        <v>332</v>
      </c>
      <c r="C5" s="1747" t="s">
        <v>676</v>
      </c>
      <c r="D5" s="1748" t="s">
        <v>175</v>
      </c>
      <c r="E5" s="1836" t="s">
        <v>180</v>
      </c>
      <c r="F5" s="1841" t="s">
        <v>842</v>
      </c>
      <c r="G5" s="1842"/>
      <c r="H5" s="1842"/>
      <c r="I5" s="1841" t="s">
        <v>885</v>
      </c>
      <c r="J5" s="1842"/>
      <c r="K5" s="1842"/>
      <c r="L5" s="1941"/>
      <c r="M5" s="1941"/>
      <c r="N5" s="1937"/>
      <c r="O5" s="1941"/>
      <c r="P5" s="572"/>
      <c r="Q5" s="572"/>
      <c r="R5" s="572"/>
      <c r="S5" s="572"/>
      <c r="T5" s="572"/>
      <c r="U5" s="572"/>
      <c r="V5" s="572"/>
    </row>
    <row r="6" spans="1:22" s="573" customFormat="1" x14ac:dyDescent="0.25">
      <c r="A6" s="1747"/>
      <c r="B6" s="1747"/>
      <c r="C6" s="1747"/>
      <c r="D6" s="1748"/>
      <c r="E6" s="1837"/>
      <c r="F6" s="1932" t="s">
        <v>682</v>
      </c>
      <c r="G6" s="1759" t="s">
        <v>679</v>
      </c>
      <c r="H6" s="933" t="s">
        <v>685</v>
      </c>
      <c r="I6" s="1932" t="s">
        <v>682</v>
      </c>
      <c r="J6" s="1759" t="s">
        <v>679</v>
      </c>
      <c r="K6" s="933" t="s">
        <v>685</v>
      </c>
      <c r="L6" s="1941"/>
      <c r="M6" s="1941"/>
      <c r="N6" s="1937"/>
      <c r="O6" s="1937"/>
      <c r="P6" s="572"/>
      <c r="Q6" s="572"/>
      <c r="R6" s="572"/>
      <c r="S6" s="572"/>
      <c r="T6" s="572"/>
      <c r="U6" s="572"/>
      <c r="V6" s="572"/>
    </row>
    <row r="7" spans="1:22" s="573" customFormat="1" ht="30.75" customHeight="1" x14ac:dyDescent="0.25">
      <c r="A7" s="1747"/>
      <c r="B7" s="1747"/>
      <c r="C7" s="1747"/>
      <c r="D7" s="1748"/>
      <c r="E7" s="1837"/>
      <c r="F7" s="1932"/>
      <c r="G7" s="1759"/>
      <c r="H7" s="1930" t="s">
        <v>745</v>
      </c>
      <c r="I7" s="1932"/>
      <c r="J7" s="1759"/>
      <c r="K7" s="1930" t="s">
        <v>745</v>
      </c>
      <c r="L7" s="1941"/>
      <c r="M7" s="1941"/>
      <c r="N7" s="1937"/>
      <c r="O7" s="1937"/>
      <c r="P7" s="572"/>
      <c r="Q7" s="572"/>
      <c r="R7" s="572"/>
      <c r="S7" s="572"/>
      <c r="T7" s="572"/>
      <c r="U7" s="572"/>
      <c r="V7" s="572"/>
    </row>
    <row r="8" spans="1:22" s="772" customFormat="1" ht="30.75" customHeight="1" x14ac:dyDescent="0.25">
      <c r="A8" s="1747"/>
      <c r="B8" s="1747"/>
      <c r="C8" s="1747"/>
      <c r="D8" s="1748"/>
      <c r="E8" s="1838"/>
      <c r="F8" s="1933"/>
      <c r="G8" s="1760"/>
      <c r="H8" s="1931"/>
      <c r="I8" s="1933"/>
      <c r="J8" s="1760"/>
      <c r="K8" s="1931"/>
      <c r="L8" s="1941"/>
      <c r="M8" s="1941"/>
      <c r="N8" s="1937"/>
      <c r="O8" s="1937"/>
      <c r="P8" s="776"/>
      <c r="Q8" s="776"/>
      <c r="R8" s="776"/>
      <c r="S8" s="776"/>
      <c r="T8" s="776"/>
      <c r="U8" s="776"/>
      <c r="V8" s="776"/>
    </row>
    <row r="9" spans="1:22" ht="41.25" customHeight="1" x14ac:dyDescent="0.25">
      <c r="A9" s="1857" t="s">
        <v>440</v>
      </c>
      <c r="B9" s="1858"/>
      <c r="C9" s="1858"/>
      <c r="D9" s="1858"/>
      <c r="E9" s="1859"/>
      <c r="F9" s="794"/>
      <c r="G9" s="740"/>
      <c r="H9" s="795">
        <f>H10</f>
        <v>112200</v>
      </c>
      <c r="I9" s="794"/>
      <c r="J9" s="740"/>
      <c r="K9" s="795">
        <f>K10</f>
        <v>112200</v>
      </c>
      <c r="L9" s="1848"/>
      <c r="M9" s="1848"/>
      <c r="N9" s="1848"/>
      <c r="O9" s="1848"/>
      <c r="P9" s="866"/>
    </row>
    <row r="10" spans="1:22" s="573" customFormat="1" ht="26.4" x14ac:dyDescent="0.25">
      <c r="A10" s="1092"/>
      <c r="B10" s="1015"/>
      <c r="C10" s="1016">
        <v>912</v>
      </c>
      <c r="D10" s="1014" t="s">
        <v>844</v>
      </c>
      <c r="E10" s="1066"/>
      <c r="F10" s="1421"/>
      <c r="G10" s="1421"/>
      <c r="H10" s="1421">
        <f>H11+H12+H13+H14</f>
        <v>112200</v>
      </c>
      <c r="I10" s="1421"/>
      <c r="J10" s="1421"/>
      <c r="K10" s="1449">
        <f>K11+K12+K13+K14</f>
        <v>112200</v>
      </c>
      <c r="L10" s="847"/>
      <c r="M10" s="1384"/>
      <c r="N10" s="896"/>
      <c r="O10" s="896"/>
      <c r="P10" s="572"/>
      <c r="Q10" s="572"/>
      <c r="R10" s="572"/>
      <c r="S10" s="572"/>
      <c r="T10" s="572"/>
      <c r="U10" s="572"/>
      <c r="V10" s="572"/>
    </row>
    <row r="11" spans="1:22" s="573" customFormat="1" x14ac:dyDescent="0.25">
      <c r="A11" s="1054">
        <v>112</v>
      </c>
      <c r="B11" s="1054">
        <v>212</v>
      </c>
      <c r="C11" s="1054">
        <v>912</v>
      </c>
      <c r="D11" s="1448" t="s">
        <v>853</v>
      </c>
      <c r="E11" s="1066" t="s">
        <v>740</v>
      </c>
      <c r="F11" s="1420">
        <v>6</v>
      </c>
      <c r="G11" s="1420">
        <f>H11/F11</f>
        <v>700</v>
      </c>
      <c r="H11" s="1420">
        <v>4200</v>
      </c>
      <c r="I11" s="1420">
        <v>6</v>
      </c>
      <c r="J11" s="1420">
        <f>K11/I11</f>
        <v>700</v>
      </c>
      <c r="K11" s="1420">
        <v>4200</v>
      </c>
      <c r="L11" s="847"/>
      <c r="M11" s="1384"/>
      <c r="N11" s="896"/>
      <c r="O11" s="896"/>
      <c r="P11" s="572"/>
      <c r="Q11" s="572"/>
      <c r="R11" s="572"/>
      <c r="S11" s="572"/>
      <c r="T11" s="572"/>
      <c r="U11" s="572"/>
      <c r="V11" s="572"/>
    </row>
    <row r="12" spans="1:22" s="573" customFormat="1" x14ac:dyDescent="0.25">
      <c r="A12" s="1054">
        <v>112</v>
      </c>
      <c r="B12" s="1054">
        <v>212</v>
      </c>
      <c r="C12" s="1054">
        <v>912</v>
      </c>
      <c r="D12" s="1448" t="s">
        <v>854</v>
      </c>
      <c r="E12" s="1066" t="s">
        <v>718</v>
      </c>
      <c r="F12" s="1420">
        <v>1</v>
      </c>
      <c r="G12" s="1420">
        <f t="shared" ref="G12:G13" si="0">H12/F12</f>
        <v>48000</v>
      </c>
      <c r="H12" s="1420">
        <v>48000</v>
      </c>
      <c r="I12" s="1420">
        <v>1</v>
      </c>
      <c r="J12" s="1420">
        <f t="shared" ref="J12:J13" si="1">K12/I12</f>
        <v>48000</v>
      </c>
      <c r="K12" s="1420">
        <v>48000</v>
      </c>
      <c r="L12" s="847"/>
      <c r="M12" s="1384"/>
      <c r="N12" s="896"/>
      <c r="O12" s="896"/>
      <c r="P12" s="572"/>
      <c r="Q12" s="572"/>
      <c r="R12" s="572"/>
      <c r="S12" s="572"/>
      <c r="T12" s="572"/>
      <c r="U12" s="572"/>
      <c r="V12" s="572"/>
    </row>
    <row r="13" spans="1:22" s="573" customFormat="1" x14ac:dyDescent="0.25">
      <c r="A13" s="1054">
        <v>112</v>
      </c>
      <c r="B13" s="1054">
        <v>226</v>
      </c>
      <c r="C13" s="1054">
        <v>912</v>
      </c>
      <c r="D13" s="1017" t="s">
        <v>855</v>
      </c>
      <c r="E13" s="1066" t="s">
        <v>182</v>
      </c>
      <c r="F13" s="565">
        <v>1</v>
      </c>
      <c r="G13" s="549">
        <f t="shared" si="0"/>
        <v>4000</v>
      </c>
      <c r="H13" s="549">
        <v>4000</v>
      </c>
      <c r="I13" s="565">
        <v>1</v>
      </c>
      <c r="J13" s="549">
        <f t="shared" si="1"/>
        <v>4000</v>
      </c>
      <c r="K13" s="549">
        <v>4000</v>
      </c>
      <c r="L13" s="847"/>
      <c r="M13" s="1384"/>
      <c r="N13" s="896"/>
      <c r="O13" s="896"/>
      <c r="P13" s="572"/>
      <c r="Q13" s="572"/>
      <c r="R13" s="572"/>
      <c r="S13" s="572"/>
      <c r="T13" s="572"/>
      <c r="U13" s="572"/>
      <c r="V13" s="572"/>
    </row>
    <row r="14" spans="1:22" s="573" customFormat="1" ht="26.4" x14ac:dyDescent="0.25">
      <c r="A14" s="1211">
        <v>112</v>
      </c>
      <c r="B14" s="1211">
        <v>226</v>
      </c>
      <c r="C14" s="1211">
        <v>919</v>
      </c>
      <c r="D14" s="1019" t="s">
        <v>865</v>
      </c>
      <c r="E14" s="1479" t="s">
        <v>182</v>
      </c>
      <c r="F14" s="570">
        <v>4</v>
      </c>
      <c r="G14" s="779">
        <f>(H14)/F14</f>
        <v>14000</v>
      </c>
      <c r="H14" s="577">
        <v>56000</v>
      </c>
      <c r="I14" s="1451">
        <v>1</v>
      </c>
      <c r="J14" s="566">
        <f>K14/I14</f>
        <v>56000</v>
      </c>
      <c r="K14" s="724">
        <v>56000</v>
      </c>
      <c r="L14" s="847"/>
      <c r="M14" s="895"/>
      <c r="N14" s="896"/>
      <c r="O14" s="896"/>
      <c r="P14" s="572"/>
      <c r="Q14" s="572"/>
      <c r="R14" s="572"/>
      <c r="S14" s="572"/>
      <c r="T14" s="572"/>
      <c r="U14" s="572"/>
      <c r="V14" s="572"/>
    </row>
    <row r="15" spans="1:22" s="573" customFormat="1" x14ac:dyDescent="0.25">
      <c r="A15" s="1821" t="s">
        <v>904</v>
      </c>
      <c r="B15" s="1822"/>
      <c r="C15" s="1822"/>
      <c r="D15" s="1822"/>
      <c r="E15" s="1823"/>
      <c r="F15" s="740"/>
      <c r="G15" s="740"/>
      <c r="H15" s="740">
        <f>H16</f>
        <v>25200</v>
      </c>
      <c r="I15" s="1450"/>
      <c r="J15" s="740"/>
      <c r="K15" s="1292">
        <f>K16</f>
        <v>105000</v>
      </c>
      <c r="L15" s="1416"/>
      <c r="M15" s="895"/>
      <c r="N15" s="1417"/>
      <c r="O15" s="1417"/>
      <c r="P15" s="572"/>
      <c r="Q15" s="572"/>
      <c r="R15" s="572"/>
      <c r="S15" s="572"/>
      <c r="T15" s="572"/>
      <c r="U15" s="572"/>
      <c r="V15" s="572"/>
    </row>
    <row r="16" spans="1:22" s="573" customFormat="1" ht="105.6" x14ac:dyDescent="0.25">
      <c r="A16" s="1423">
        <v>113</v>
      </c>
      <c r="B16" s="1423">
        <v>226</v>
      </c>
      <c r="C16" s="1423">
        <v>966</v>
      </c>
      <c r="D16" s="1424" t="s">
        <v>226</v>
      </c>
      <c r="E16" s="591" t="s">
        <v>740</v>
      </c>
      <c r="F16" s="566">
        <v>36</v>
      </c>
      <c r="G16" s="724">
        <f>H16/F16</f>
        <v>700</v>
      </c>
      <c r="H16" s="1425">
        <v>25200</v>
      </c>
      <c r="I16" s="591">
        <v>150</v>
      </c>
      <c r="J16" s="566">
        <f>K16/I16</f>
        <v>700</v>
      </c>
      <c r="K16" s="824">
        <v>105000</v>
      </c>
      <c r="L16" s="1416"/>
      <c r="M16" s="895"/>
      <c r="N16" s="1417"/>
      <c r="O16" s="1417"/>
      <c r="P16" s="572"/>
      <c r="Q16" s="572"/>
      <c r="R16" s="572"/>
      <c r="S16" s="572"/>
      <c r="T16" s="572"/>
      <c r="U16" s="572"/>
      <c r="V16" s="572"/>
    </row>
    <row r="17" spans="1:22" s="573" customFormat="1" ht="42" customHeight="1" x14ac:dyDescent="0.25">
      <c r="A17" s="1855" t="s">
        <v>684</v>
      </c>
      <c r="B17" s="1855"/>
      <c r="C17" s="1855"/>
      <c r="D17" s="1855"/>
      <c r="E17" s="1856"/>
      <c r="F17" s="1158"/>
      <c r="G17" s="1158"/>
      <c r="H17" s="1159">
        <f>H18</f>
        <v>17000</v>
      </c>
      <c r="I17" s="1450"/>
      <c r="J17" s="740"/>
      <c r="K17" s="1292">
        <f>K18</f>
        <v>17000</v>
      </c>
      <c r="L17" s="1416"/>
      <c r="M17" s="895"/>
      <c r="N17" s="1417"/>
      <c r="O17" s="1417"/>
      <c r="P17" s="572"/>
      <c r="Q17" s="572"/>
      <c r="R17" s="572"/>
      <c r="S17" s="572"/>
      <c r="T17" s="572"/>
      <c r="U17" s="572"/>
      <c r="V17" s="572"/>
    </row>
    <row r="18" spans="1:22" s="573" customFormat="1" x14ac:dyDescent="0.25">
      <c r="A18" s="561"/>
      <c r="B18" s="537"/>
      <c r="C18" s="561">
        <v>992</v>
      </c>
      <c r="D18" s="1001" t="s">
        <v>678</v>
      </c>
      <c r="E18" s="1001"/>
      <c r="F18" s="1429"/>
      <c r="G18" s="1421"/>
      <c r="H18" s="1421">
        <f>H19</f>
        <v>17000</v>
      </c>
      <c r="I18" s="1431"/>
      <c r="J18" s="1429"/>
      <c r="K18" s="1449">
        <f>K19</f>
        <v>17000</v>
      </c>
      <c r="L18" s="1416"/>
      <c r="M18" s="895"/>
      <c r="N18" s="1417"/>
      <c r="O18" s="1417"/>
      <c r="P18" s="572"/>
      <c r="Q18" s="572"/>
      <c r="R18" s="572"/>
      <c r="S18" s="572"/>
      <c r="T18" s="572"/>
      <c r="U18" s="572"/>
      <c r="V18" s="572"/>
    </row>
    <row r="19" spans="1:22" s="573" customFormat="1" x14ac:dyDescent="0.25">
      <c r="A19" s="536">
        <v>119</v>
      </c>
      <c r="B19" s="533">
        <v>213</v>
      </c>
      <c r="C19" s="536">
        <v>992</v>
      </c>
      <c r="D19" s="811" t="s">
        <v>678</v>
      </c>
      <c r="E19" s="586" t="s">
        <v>683</v>
      </c>
      <c r="F19" s="565">
        <v>4</v>
      </c>
      <c r="G19" s="549">
        <f>H19/F19</f>
        <v>4250</v>
      </c>
      <c r="H19" s="549">
        <v>17000</v>
      </c>
      <c r="I19" s="565">
        <v>4</v>
      </c>
      <c r="J19" s="549">
        <f>K19/I19</f>
        <v>4250</v>
      </c>
      <c r="K19" s="549">
        <v>17000</v>
      </c>
      <c r="L19" s="1416"/>
      <c r="M19" s="895"/>
      <c r="N19" s="1417"/>
      <c r="O19" s="1417"/>
      <c r="P19" s="572"/>
      <c r="Q19" s="572"/>
      <c r="R19" s="572"/>
      <c r="S19" s="572"/>
      <c r="T19" s="572"/>
      <c r="U19" s="572"/>
      <c r="V19" s="572"/>
    </row>
    <row r="20" spans="1:22" ht="37.5" customHeight="1" x14ac:dyDescent="0.25">
      <c r="A20" s="1821" t="s">
        <v>612</v>
      </c>
      <c r="B20" s="1822"/>
      <c r="C20" s="1822"/>
      <c r="D20" s="1822"/>
      <c r="E20" s="1823"/>
      <c r="F20" s="740"/>
      <c r="G20" s="740"/>
      <c r="H20" s="740">
        <f>H21+H25+H29+H33+H35+H42+H45+H48+H52</f>
        <v>5328900</v>
      </c>
      <c r="I20" s="740"/>
      <c r="J20" s="740"/>
      <c r="K20" s="1154">
        <f>K25+K35+K45+K52+K48+K42+K21+K29+K33</f>
        <v>5511100</v>
      </c>
      <c r="L20" s="1848"/>
      <c r="M20" s="1848"/>
      <c r="N20" s="1848"/>
      <c r="O20" s="1848"/>
    </row>
    <row r="21" spans="1:22" s="783" customFormat="1" ht="21" customHeight="1" x14ac:dyDescent="0.25">
      <c r="A21" s="1055">
        <v>244</v>
      </c>
      <c r="B21" s="1055">
        <v>222</v>
      </c>
      <c r="C21" s="1055">
        <v>922</v>
      </c>
      <c r="D21" s="540" t="s">
        <v>864</v>
      </c>
      <c r="E21" s="581"/>
      <c r="F21" s="581"/>
      <c r="G21" s="581"/>
      <c r="H21" s="545">
        <f>SUM(H22:H24)</f>
        <v>521000</v>
      </c>
      <c r="I21" s="545"/>
      <c r="J21" s="545"/>
      <c r="K21" s="796">
        <f>SUM(K22:K24)</f>
        <v>561000</v>
      </c>
      <c r="L21" s="1401"/>
      <c r="M21" s="1401"/>
      <c r="N21" s="1402"/>
      <c r="O21" s="1402"/>
      <c r="P21" s="782"/>
      <c r="Q21" s="782"/>
      <c r="R21" s="782"/>
      <c r="S21" s="782"/>
      <c r="T21" s="782"/>
      <c r="U21" s="782"/>
      <c r="V21" s="782"/>
    </row>
    <row r="22" spans="1:22" s="573" customFormat="1" x14ac:dyDescent="0.25">
      <c r="A22" s="535"/>
      <c r="B22" s="535"/>
      <c r="C22" s="535"/>
      <c r="D22" s="1454" t="s">
        <v>839</v>
      </c>
      <c r="E22" s="1412" t="s">
        <v>803</v>
      </c>
      <c r="F22" s="1457">
        <v>1</v>
      </c>
      <c r="G22" s="1458">
        <f>H22/F22</f>
        <v>150000</v>
      </c>
      <c r="H22" s="1457">
        <v>150000</v>
      </c>
      <c r="I22" s="1457">
        <v>1</v>
      </c>
      <c r="J22" s="1458">
        <f>K22/I22</f>
        <v>150000</v>
      </c>
      <c r="K22" s="1457">
        <v>150000</v>
      </c>
      <c r="L22" s="1401"/>
      <c r="M22" s="895"/>
      <c r="N22" s="896"/>
      <c r="O22" s="896"/>
      <c r="P22" s="572"/>
      <c r="Q22" s="572"/>
      <c r="R22" s="572"/>
      <c r="S22" s="572"/>
      <c r="T22" s="572"/>
      <c r="U22" s="572"/>
      <c r="V22" s="572"/>
    </row>
    <row r="23" spans="1:22" s="573" customFormat="1" x14ac:dyDescent="0.25">
      <c r="A23" s="1455"/>
      <c r="B23" s="1456"/>
      <c r="C23" s="1455"/>
      <c r="D23" s="1013" t="s">
        <v>852</v>
      </c>
      <c r="E23" s="1493" t="s">
        <v>182</v>
      </c>
      <c r="F23" s="1420">
        <v>8</v>
      </c>
      <c r="G23" s="1420">
        <f>H23/F23</f>
        <v>37500</v>
      </c>
      <c r="H23" s="1420">
        <v>300000</v>
      </c>
      <c r="I23" s="1420">
        <v>8</v>
      </c>
      <c r="J23" s="1420">
        <f>K23/I23</f>
        <v>37500</v>
      </c>
      <c r="K23" s="1420">
        <v>300000</v>
      </c>
      <c r="L23" s="1418"/>
      <c r="M23" s="895"/>
      <c r="N23" s="1417"/>
      <c r="O23" s="1417"/>
      <c r="P23" s="572"/>
      <c r="Q23" s="572"/>
      <c r="R23" s="572"/>
      <c r="S23" s="572"/>
      <c r="T23" s="572"/>
      <c r="U23" s="572"/>
      <c r="V23" s="572"/>
    </row>
    <row r="24" spans="1:22" s="573" customFormat="1" x14ac:dyDescent="0.25">
      <c r="A24" s="1414"/>
      <c r="B24" s="1452"/>
      <c r="C24" s="1020"/>
      <c r="D24" s="1453" t="s">
        <v>668</v>
      </c>
      <c r="E24" s="1459" t="s">
        <v>718</v>
      </c>
      <c r="F24" s="549">
        <v>1</v>
      </c>
      <c r="G24" s="549">
        <v>111000</v>
      </c>
      <c r="H24" s="549">
        <v>71000</v>
      </c>
      <c r="I24" s="549">
        <v>1</v>
      </c>
      <c r="J24" s="549">
        <v>111000</v>
      </c>
      <c r="K24" s="549">
        <v>111000</v>
      </c>
      <c r="L24" s="1418"/>
      <c r="M24" s="895"/>
      <c r="N24" s="1417"/>
      <c r="O24" s="1417"/>
      <c r="P24" s="572"/>
      <c r="Q24" s="572"/>
      <c r="R24" s="572"/>
      <c r="S24" s="572"/>
      <c r="T24" s="572"/>
      <c r="U24" s="572"/>
      <c r="V24" s="572"/>
    </row>
    <row r="25" spans="1:22" s="573" customFormat="1" ht="26.25" customHeight="1" x14ac:dyDescent="0.25">
      <c r="A25" s="790">
        <v>244</v>
      </c>
      <c r="B25" s="790">
        <v>221</v>
      </c>
      <c r="C25" s="790">
        <v>925</v>
      </c>
      <c r="D25" s="560" t="s">
        <v>704</v>
      </c>
      <c r="E25" s="576"/>
      <c r="F25" s="570"/>
      <c r="G25" s="577"/>
      <c r="H25" s="577">
        <f>SUM(H26:H28)</f>
        <v>165900</v>
      </c>
      <c r="I25" s="570"/>
      <c r="J25" s="577"/>
      <c r="K25" s="779">
        <f>SUM(K26:K28)</f>
        <v>175900</v>
      </c>
      <c r="L25" s="1938"/>
      <c r="M25" s="1939"/>
      <c r="N25" s="1940"/>
      <c r="O25" s="1940"/>
      <c r="P25" s="572"/>
      <c r="Q25" s="572"/>
      <c r="R25" s="572"/>
      <c r="S25" s="572"/>
      <c r="T25" s="572"/>
      <c r="U25" s="572"/>
      <c r="V25" s="572"/>
    </row>
    <row r="26" spans="1:22" s="573" customFormat="1" x14ac:dyDescent="0.25">
      <c r="A26" s="535"/>
      <c r="B26" s="535"/>
      <c r="C26" s="535"/>
      <c r="D26" s="928" t="s">
        <v>770</v>
      </c>
      <c r="E26" s="1471" t="s">
        <v>178</v>
      </c>
      <c r="F26" s="564">
        <v>12</v>
      </c>
      <c r="G26" s="547">
        <f>(H26)/F26</f>
        <v>1691.67</v>
      </c>
      <c r="H26" s="547">
        <v>20300</v>
      </c>
      <c r="I26" s="564">
        <v>12</v>
      </c>
      <c r="J26" s="547">
        <f>(K26)/I26</f>
        <v>2525</v>
      </c>
      <c r="K26" s="547">
        <v>30300</v>
      </c>
      <c r="L26" s="1938"/>
      <c r="M26" s="1939"/>
      <c r="N26" s="1940"/>
      <c r="O26" s="1940"/>
      <c r="P26" s="572"/>
      <c r="Q26" s="572"/>
      <c r="R26" s="572"/>
      <c r="S26" s="572"/>
      <c r="T26" s="572"/>
      <c r="U26" s="572"/>
      <c r="V26" s="572"/>
    </row>
    <row r="27" spans="1:22" s="573" customFormat="1" x14ac:dyDescent="0.25">
      <c r="A27" s="535"/>
      <c r="B27" s="535"/>
      <c r="C27" s="535"/>
      <c r="D27" s="928" t="s">
        <v>777</v>
      </c>
      <c r="E27" s="1471" t="s">
        <v>178</v>
      </c>
      <c r="F27" s="564">
        <v>12</v>
      </c>
      <c r="G27" s="547">
        <f t="shared" ref="G27:G28" si="2">(H27)/F27</f>
        <v>10466.67</v>
      </c>
      <c r="H27" s="547">
        <v>125600</v>
      </c>
      <c r="I27" s="564">
        <v>12</v>
      </c>
      <c r="J27" s="547">
        <f>(K27)/I27</f>
        <v>10466.67</v>
      </c>
      <c r="K27" s="547">
        <v>125600</v>
      </c>
      <c r="L27" s="1938"/>
      <c r="M27" s="1939"/>
      <c r="N27" s="1940"/>
      <c r="O27" s="1940"/>
      <c r="P27" s="572"/>
      <c r="Q27" s="572"/>
      <c r="R27" s="572"/>
      <c r="S27" s="572"/>
      <c r="T27" s="572"/>
      <c r="U27" s="572"/>
      <c r="V27" s="572"/>
    </row>
    <row r="28" spans="1:22" s="573" customFormat="1" x14ac:dyDescent="0.25">
      <c r="A28" s="535"/>
      <c r="B28" s="535"/>
      <c r="C28" s="535"/>
      <c r="D28" s="813" t="s">
        <v>855</v>
      </c>
      <c r="E28" s="1064" t="s">
        <v>718</v>
      </c>
      <c r="F28" s="564">
        <v>1</v>
      </c>
      <c r="G28" s="547">
        <f t="shared" si="2"/>
        <v>20000</v>
      </c>
      <c r="H28" s="547">
        <v>20000</v>
      </c>
      <c r="I28" s="564">
        <v>1</v>
      </c>
      <c r="J28" s="547">
        <f>(K28)/I28</f>
        <v>20000</v>
      </c>
      <c r="K28" s="547">
        <v>20000</v>
      </c>
      <c r="L28" s="1938"/>
      <c r="M28" s="1939"/>
      <c r="N28" s="1940"/>
      <c r="O28" s="1940"/>
      <c r="P28" s="572"/>
      <c r="Q28" s="572"/>
      <c r="R28" s="572"/>
      <c r="S28" s="572"/>
      <c r="T28" s="572"/>
      <c r="U28" s="572"/>
      <c r="V28" s="572"/>
    </row>
    <row r="29" spans="1:22" s="573" customFormat="1" ht="48" customHeight="1" x14ac:dyDescent="0.25">
      <c r="A29" s="561">
        <v>244</v>
      </c>
      <c r="B29" s="561">
        <v>225</v>
      </c>
      <c r="C29" s="561">
        <v>941</v>
      </c>
      <c r="D29" s="1019" t="s">
        <v>845</v>
      </c>
      <c r="E29" s="862"/>
      <c r="F29" s="584"/>
      <c r="G29" s="585"/>
      <c r="H29" s="545">
        <f>SUM(H30:H32)</f>
        <v>456000</v>
      </c>
      <c r="I29" s="584"/>
      <c r="J29" s="585"/>
      <c r="K29" s="796">
        <f>SUM(K30:K32)</f>
        <v>454000</v>
      </c>
      <c r="L29" s="1935"/>
      <c r="M29" s="895"/>
      <c r="N29" s="1400"/>
      <c r="O29" s="1400"/>
      <c r="P29" s="572"/>
      <c r="Q29" s="572"/>
      <c r="R29" s="572"/>
      <c r="S29" s="572"/>
      <c r="T29" s="572"/>
      <c r="U29" s="572"/>
      <c r="V29" s="572"/>
    </row>
    <row r="30" spans="1:22" s="573" customFormat="1" x14ac:dyDescent="0.25">
      <c r="A30" s="576"/>
      <c r="B30" s="576"/>
      <c r="C30" s="576"/>
      <c r="D30" s="1460" t="s">
        <v>379</v>
      </c>
      <c r="E30" s="1461" t="s">
        <v>785</v>
      </c>
      <c r="F30" s="1462">
        <v>4</v>
      </c>
      <c r="G30" s="1428">
        <f>H30/F30</f>
        <v>12500</v>
      </c>
      <c r="H30" s="1428">
        <v>50000</v>
      </c>
      <c r="I30" s="1462">
        <v>4</v>
      </c>
      <c r="J30" s="1428">
        <f>K30/I30</f>
        <v>12500</v>
      </c>
      <c r="K30" s="1428">
        <v>50000</v>
      </c>
      <c r="L30" s="1935"/>
      <c r="M30" s="895"/>
      <c r="N30" s="1400"/>
      <c r="O30" s="1400"/>
      <c r="P30" s="572"/>
      <c r="Q30" s="572"/>
      <c r="R30" s="572"/>
      <c r="S30" s="572"/>
      <c r="T30" s="572"/>
      <c r="U30" s="572"/>
      <c r="V30" s="572"/>
    </row>
    <row r="31" spans="1:22" s="573" customFormat="1" x14ac:dyDescent="0.25">
      <c r="A31" s="576"/>
      <c r="B31" s="576"/>
      <c r="C31" s="576"/>
      <c r="D31" s="1460" t="s">
        <v>877</v>
      </c>
      <c r="E31" s="1461" t="s">
        <v>181</v>
      </c>
      <c r="F31" s="1462">
        <v>8</v>
      </c>
      <c r="G31" s="1428">
        <f t="shared" ref="G31:G32" si="3">H31/F31</f>
        <v>1750</v>
      </c>
      <c r="H31" s="1428">
        <v>14000</v>
      </c>
      <c r="I31" s="1462">
        <v>8</v>
      </c>
      <c r="J31" s="1428">
        <f t="shared" ref="J31:J32" si="4">K31/I31</f>
        <v>1750</v>
      </c>
      <c r="K31" s="1428">
        <v>14000</v>
      </c>
      <c r="L31" s="1935"/>
      <c r="M31" s="895"/>
      <c r="N31" s="1400"/>
      <c r="O31" s="1400"/>
      <c r="P31" s="572"/>
      <c r="Q31" s="572"/>
      <c r="R31" s="572"/>
      <c r="S31" s="572"/>
      <c r="T31" s="572"/>
      <c r="U31" s="572"/>
      <c r="V31" s="572"/>
    </row>
    <row r="32" spans="1:22" s="573" customFormat="1" ht="27" customHeight="1" x14ac:dyDescent="0.25">
      <c r="A32" s="576"/>
      <c r="B32" s="576"/>
      <c r="C32" s="576"/>
      <c r="D32" s="1427" t="s">
        <v>905</v>
      </c>
      <c r="E32" s="1413" t="s">
        <v>718</v>
      </c>
      <c r="F32" s="564">
        <v>1</v>
      </c>
      <c r="G32" s="547">
        <f t="shared" si="3"/>
        <v>392000</v>
      </c>
      <c r="H32" s="547">
        <v>392000</v>
      </c>
      <c r="I32" s="565">
        <v>1</v>
      </c>
      <c r="J32" s="549">
        <f t="shared" si="4"/>
        <v>390000</v>
      </c>
      <c r="K32" s="549">
        <v>390000</v>
      </c>
      <c r="L32" s="1935"/>
      <c r="M32" s="895"/>
      <c r="N32" s="1400"/>
      <c r="O32" s="1400"/>
      <c r="P32" s="572"/>
      <c r="Q32" s="572"/>
      <c r="R32" s="572"/>
      <c r="S32" s="572"/>
      <c r="T32" s="572"/>
      <c r="U32" s="572"/>
      <c r="V32" s="572"/>
    </row>
    <row r="33" spans="1:22" s="573" customFormat="1" ht="27" customHeight="1" x14ac:dyDescent="0.25">
      <c r="A33" s="561">
        <v>244</v>
      </c>
      <c r="B33" s="561">
        <v>225</v>
      </c>
      <c r="C33" s="1431">
        <v>944</v>
      </c>
      <c r="D33" s="540" t="s">
        <v>866</v>
      </c>
      <c r="E33" s="561"/>
      <c r="F33" s="563"/>
      <c r="G33" s="545"/>
      <c r="H33" s="545">
        <f>H34</f>
        <v>250000</v>
      </c>
      <c r="I33" s="1464"/>
      <c r="J33" s="1466"/>
      <c r="K33" s="1449">
        <f>K34</f>
        <v>250000</v>
      </c>
      <c r="L33" s="1416"/>
      <c r="M33" s="895"/>
      <c r="N33" s="1400"/>
      <c r="O33" s="1400"/>
      <c r="P33" s="572"/>
      <c r="Q33" s="572"/>
      <c r="R33" s="572"/>
      <c r="S33" s="572"/>
      <c r="T33" s="572"/>
      <c r="U33" s="572"/>
      <c r="V33" s="572"/>
    </row>
    <row r="34" spans="1:22" s="573" customFormat="1" x14ac:dyDescent="0.25">
      <c r="A34" s="1430"/>
      <c r="B34" s="1430"/>
      <c r="C34" s="576"/>
      <c r="D34" s="1432" t="s">
        <v>906</v>
      </c>
      <c r="E34" s="1433" t="s">
        <v>718</v>
      </c>
      <c r="F34" s="1404">
        <v>1</v>
      </c>
      <c r="G34" s="1419">
        <f>H34/F34</f>
        <v>250000</v>
      </c>
      <c r="H34" s="1419">
        <v>250000</v>
      </c>
      <c r="I34" s="1463">
        <v>1</v>
      </c>
      <c r="J34" s="1465">
        <f>K34/I34</f>
        <v>250000</v>
      </c>
      <c r="K34" s="1465">
        <v>250000</v>
      </c>
      <c r="L34" s="1416"/>
      <c r="M34" s="895"/>
      <c r="N34" s="1400"/>
      <c r="O34" s="1400"/>
      <c r="P34" s="572"/>
      <c r="Q34" s="572"/>
      <c r="R34" s="572"/>
      <c r="S34" s="572"/>
      <c r="T34" s="572"/>
      <c r="U34" s="572"/>
      <c r="V34" s="572"/>
    </row>
    <row r="35" spans="1:22" s="573" customFormat="1" x14ac:dyDescent="0.25">
      <c r="A35" s="583">
        <v>244</v>
      </c>
      <c r="B35" s="561">
        <v>226</v>
      </c>
      <c r="C35" s="538" t="s">
        <v>724</v>
      </c>
      <c r="D35" s="893" t="s">
        <v>725</v>
      </c>
      <c r="E35" s="538"/>
      <c r="F35" s="563"/>
      <c r="G35" s="581"/>
      <c r="H35" s="545">
        <f>SUM(H36:H41)</f>
        <v>624000</v>
      </c>
      <c r="I35" s="563"/>
      <c r="J35" s="583"/>
      <c r="K35" s="796">
        <f>SUM(K36:K41)</f>
        <v>678000</v>
      </c>
      <c r="L35" s="845"/>
      <c r="M35" s="845"/>
      <c r="N35" s="845"/>
      <c r="O35" s="845"/>
      <c r="P35" s="572"/>
      <c r="Q35" s="572"/>
      <c r="R35" s="572"/>
      <c r="S35" s="572"/>
      <c r="T35" s="572"/>
      <c r="U35" s="572"/>
      <c r="V35" s="572"/>
    </row>
    <row r="36" spans="1:22" s="573" customFormat="1" ht="20.25" customHeight="1" x14ac:dyDescent="0.25">
      <c r="A36" s="587"/>
      <c r="B36" s="1064"/>
      <c r="C36" s="531"/>
      <c r="D36" s="1029" t="s">
        <v>791</v>
      </c>
      <c r="E36" s="1412" t="s">
        <v>370</v>
      </c>
      <c r="F36" s="564">
        <v>1</v>
      </c>
      <c r="G36" s="775">
        <f>H36/F36</f>
        <v>80000</v>
      </c>
      <c r="H36" s="547">
        <v>80000</v>
      </c>
      <c r="I36" s="564">
        <v>1</v>
      </c>
      <c r="J36" s="775">
        <f>K36/I36</f>
        <v>80000</v>
      </c>
      <c r="K36" s="547">
        <v>80000</v>
      </c>
      <c r="L36" s="847"/>
      <c r="M36" s="895"/>
      <c r="N36" s="896"/>
      <c r="O36" s="896"/>
      <c r="P36" s="572"/>
      <c r="Q36" s="572"/>
      <c r="R36" s="572"/>
      <c r="S36" s="572"/>
      <c r="T36" s="572"/>
      <c r="U36" s="572"/>
      <c r="V36" s="572"/>
    </row>
    <row r="37" spans="1:22" s="573" customFormat="1" ht="20.25" customHeight="1" x14ac:dyDescent="0.25">
      <c r="A37" s="587"/>
      <c r="B37" s="1064"/>
      <c r="C37" s="531"/>
      <c r="D37" s="1029" t="s">
        <v>870</v>
      </c>
      <c r="E37" s="1412" t="s">
        <v>718</v>
      </c>
      <c r="F37" s="564">
        <v>1</v>
      </c>
      <c r="G37" s="775">
        <f t="shared" ref="G37:G41" si="5">H37/F37</f>
        <v>50000</v>
      </c>
      <c r="H37" s="547">
        <v>50000</v>
      </c>
      <c r="I37" s="564">
        <v>1</v>
      </c>
      <c r="J37" s="775">
        <f t="shared" ref="J37:J41" si="6">K37/I37</f>
        <v>50000</v>
      </c>
      <c r="K37" s="547">
        <v>50000</v>
      </c>
      <c r="L37" s="847"/>
      <c r="M37" s="895"/>
      <c r="N37" s="896"/>
      <c r="O37" s="896"/>
      <c r="P37" s="572"/>
      <c r="Q37" s="572"/>
      <c r="R37" s="572"/>
      <c r="S37" s="572"/>
      <c r="T37" s="572"/>
      <c r="U37" s="572"/>
      <c r="V37" s="572"/>
    </row>
    <row r="38" spans="1:22" s="573" customFormat="1" ht="20.25" customHeight="1" x14ac:dyDescent="0.25">
      <c r="A38" s="587"/>
      <c r="B38" s="1064"/>
      <c r="C38" s="531"/>
      <c r="D38" s="1029" t="s">
        <v>766</v>
      </c>
      <c r="E38" s="1412" t="s">
        <v>370</v>
      </c>
      <c r="F38" s="564">
        <v>1</v>
      </c>
      <c r="G38" s="775">
        <f t="shared" si="5"/>
        <v>2000</v>
      </c>
      <c r="H38" s="547">
        <v>2000</v>
      </c>
      <c r="I38" s="564">
        <v>1</v>
      </c>
      <c r="J38" s="775">
        <f t="shared" si="6"/>
        <v>2000</v>
      </c>
      <c r="K38" s="547">
        <v>2000</v>
      </c>
      <c r="L38" s="847"/>
      <c r="M38" s="895"/>
      <c r="N38" s="896"/>
      <c r="O38" s="896"/>
      <c r="P38" s="572"/>
      <c r="Q38" s="572"/>
      <c r="R38" s="572"/>
      <c r="S38" s="572"/>
      <c r="T38" s="572"/>
      <c r="U38" s="572"/>
      <c r="V38" s="572"/>
    </row>
    <row r="39" spans="1:22" s="573" customFormat="1" ht="20.25" customHeight="1" x14ac:dyDescent="0.25">
      <c r="A39" s="587"/>
      <c r="B39" s="1064"/>
      <c r="C39" s="531"/>
      <c r="D39" s="1029" t="s">
        <v>878</v>
      </c>
      <c r="E39" s="1412" t="s">
        <v>370</v>
      </c>
      <c r="F39" s="564">
        <v>1</v>
      </c>
      <c r="G39" s="775">
        <f t="shared" si="5"/>
        <v>15000</v>
      </c>
      <c r="H39" s="547">
        <v>15000</v>
      </c>
      <c r="I39" s="564">
        <v>1</v>
      </c>
      <c r="J39" s="775">
        <f t="shared" si="6"/>
        <v>19000</v>
      </c>
      <c r="K39" s="547">
        <v>19000</v>
      </c>
      <c r="L39" s="847"/>
      <c r="M39" s="895"/>
      <c r="N39" s="896"/>
      <c r="O39" s="896"/>
      <c r="P39" s="572"/>
      <c r="Q39" s="572"/>
      <c r="R39" s="572"/>
      <c r="S39" s="572"/>
      <c r="T39" s="572"/>
      <c r="U39" s="572"/>
      <c r="V39" s="572"/>
    </row>
    <row r="40" spans="1:22" s="573" customFormat="1" ht="20.25" customHeight="1" x14ac:dyDescent="0.25">
      <c r="A40" s="587"/>
      <c r="B40" s="1064"/>
      <c r="C40" s="531"/>
      <c r="D40" s="1029" t="s">
        <v>852</v>
      </c>
      <c r="E40" s="1412" t="s">
        <v>718</v>
      </c>
      <c r="F40" s="564">
        <v>1</v>
      </c>
      <c r="G40" s="775">
        <f t="shared" si="5"/>
        <v>100000</v>
      </c>
      <c r="H40" s="547">
        <v>100000</v>
      </c>
      <c r="I40" s="564">
        <v>1</v>
      </c>
      <c r="J40" s="775">
        <f t="shared" si="6"/>
        <v>150000</v>
      </c>
      <c r="K40" s="547">
        <v>150000</v>
      </c>
      <c r="L40" s="847"/>
      <c r="M40" s="895"/>
      <c r="N40" s="896"/>
      <c r="O40" s="896"/>
      <c r="P40" s="572"/>
      <c r="Q40" s="572"/>
      <c r="R40" s="572"/>
      <c r="S40" s="572"/>
      <c r="T40" s="572"/>
      <c r="U40" s="572"/>
      <c r="V40" s="572"/>
    </row>
    <row r="41" spans="1:22" s="573" customFormat="1" ht="20.25" customHeight="1" x14ac:dyDescent="0.25">
      <c r="A41" s="586"/>
      <c r="B41" s="1065"/>
      <c r="C41" s="534"/>
      <c r="D41" s="1030" t="s">
        <v>855</v>
      </c>
      <c r="E41" s="1415" t="s">
        <v>718</v>
      </c>
      <c r="F41" s="565">
        <v>1</v>
      </c>
      <c r="G41" s="549">
        <f t="shared" si="5"/>
        <v>377000</v>
      </c>
      <c r="H41" s="549">
        <v>377000</v>
      </c>
      <c r="I41" s="565">
        <v>1</v>
      </c>
      <c r="J41" s="549">
        <f t="shared" si="6"/>
        <v>377000</v>
      </c>
      <c r="K41" s="549">
        <v>377000</v>
      </c>
      <c r="L41" s="847"/>
      <c r="M41" s="895"/>
      <c r="N41" s="896"/>
      <c r="O41" s="896"/>
      <c r="P41" s="572"/>
      <c r="Q41" s="572"/>
      <c r="R41" s="572"/>
      <c r="S41" s="572"/>
      <c r="T41" s="572"/>
      <c r="U41" s="572"/>
      <c r="V41" s="572"/>
    </row>
    <row r="42" spans="1:22" s="573" customFormat="1" x14ac:dyDescent="0.25">
      <c r="A42" s="583"/>
      <c r="B42" s="561"/>
      <c r="C42" s="538">
        <v>955</v>
      </c>
      <c r="D42" s="893" t="s">
        <v>748</v>
      </c>
      <c r="E42" s="561"/>
      <c r="F42" s="563"/>
      <c r="G42" s="563"/>
      <c r="H42" s="563">
        <f>SUM(H43:H44)</f>
        <v>623000</v>
      </c>
      <c r="I42" s="563"/>
      <c r="J42" s="563"/>
      <c r="K42" s="997">
        <f>SUM(K43:K44)</f>
        <v>659000</v>
      </c>
      <c r="L42" s="845"/>
      <c r="M42" s="845"/>
      <c r="N42" s="845"/>
      <c r="O42" s="845"/>
      <c r="P42" s="572"/>
      <c r="Q42" s="572"/>
      <c r="R42" s="572"/>
      <c r="S42" s="572"/>
      <c r="T42" s="572"/>
      <c r="U42" s="572"/>
      <c r="V42" s="572"/>
    </row>
    <row r="43" spans="1:22" s="573" customFormat="1" ht="22.5" customHeight="1" x14ac:dyDescent="0.25">
      <c r="A43" s="1461">
        <v>244</v>
      </c>
      <c r="B43" s="1413">
        <v>225</v>
      </c>
      <c r="C43" s="773">
        <v>955</v>
      </c>
      <c r="D43" s="1013" t="s">
        <v>771</v>
      </c>
      <c r="E43" s="1066" t="s">
        <v>370</v>
      </c>
      <c r="F43" s="803">
        <v>1</v>
      </c>
      <c r="G43" s="803">
        <f t="shared" ref="G43:G63" si="7">(H43)/F43</f>
        <v>148700</v>
      </c>
      <c r="H43" s="547">
        <v>148700</v>
      </c>
      <c r="I43" s="803">
        <v>1</v>
      </c>
      <c r="J43" s="803">
        <f t="shared" ref="J43:J44" si="8">(K43)/I43</f>
        <v>148700</v>
      </c>
      <c r="K43" s="547">
        <v>148700</v>
      </c>
      <c r="L43" s="847"/>
      <c r="M43" s="895"/>
      <c r="N43" s="896"/>
      <c r="O43" s="896"/>
      <c r="P43" s="572"/>
      <c r="Q43" s="572"/>
      <c r="R43" s="572"/>
      <c r="S43" s="572"/>
      <c r="T43" s="572"/>
      <c r="U43" s="572"/>
      <c r="V43" s="572"/>
    </row>
    <row r="44" spans="1:22" s="573" customFormat="1" ht="22.5" customHeight="1" x14ac:dyDescent="0.25">
      <c r="A44" s="1461">
        <v>244</v>
      </c>
      <c r="B44" s="1413">
        <v>226</v>
      </c>
      <c r="C44" s="773">
        <v>955</v>
      </c>
      <c r="D44" s="1017" t="s">
        <v>833</v>
      </c>
      <c r="E44" s="1067" t="s">
        <v>370</v>
      </c>
      <c r="F44" s="803">
        <v>1</v>
      </c>
      <c r="G44" s="803">
        <f t="shared" si="7"/>
        <v>474300</v>
      </c>
      <c r="H44" s="803">
        <f>474292+8</f>
        <v>474300</v>
      </c>
      <c r="I44" s="803">
        <v>1</v>
      </c>
      <c r="J44" s="803">
        <f t="shared" si="8"/>
        <v>510300</v>
      </c>
      <c r="K44" s="549">
        <v>510300</v>
      </c>
      <c r="L44" s="847"/>
      <c r="M44" s="895"/>
      <c r="N44" s="896"/>
      <c r="O44" s="896"/>
      <c r="P44" s="572"/>
      <c r="Q44" s="572"/>
      <c r="R44" s="572"/>
      <c r="S44" s="572"/>
      <c r="T44" s="572"/>
      <c r="U44" s="572"/>
      <c r="V44" s="572"/>
    </row>
    <row r="45" spans="1:22" s="573" customFormat="1" ht="39.75" customHeight="1" x14ac:dyDescent="0.25">
      <c r="A45" s="583">
        <v>244</v>
      </c>
      <c r="B45" s="561">
        <v>340</v>
      </c>
      <c r="C45" s="538" t="s">
        <v>726</v>
      </c>
      <c r="D45" s="893" t="s">
        <v>727</v>
      </c>
      <c r="E45" s="561"/>
      <c r="F45" s="1021"/>
      <c r="G45" s="1021"/>
      <c r="H45" s="796">
        <f>SUM(H46:H47)</f>
        <v>480000</v>
      </c>
      <c r="I45" s="796"/>
      <c r="J45" s="796"/>
      <c r="K45" s="796">
        <f>SUM(K46:K47)</f>
        <v>480000</v>
      </c>
      <c r="L45" s="1934"/>
      <c r="M45" s="1934"/>
      <c r="N45" s="1934"/>
      <c r="O45" s="1934"/>
      <c r="P45" s="572"/>
      <c r="Q45" s="572"/>
      <c r="R45" s="572"/>
      <c r="S45" s="572"/>
      <c r="T45" s="572"/>
      <c r="U45" s="572"/>
      <c r="V45" s="572"/>
    </row>
    <row r="46" spans="1:22" s="573" customFormat="1" ht="23.25" customHeight="1" x14ac:dyDescent="0.25">
      <c r="A46" s="587"/>
      <c r="B46" s="1064"/>
      <c r="C46" s="531"/>
      <c r="D46" s="1013" t="s">
        <v>855</v>
      </c>
      <c r="E46" s="1064" t="s">
        <v>718</v>
      </c>
      <c r="F46" s="803">
        <v>1</v>
      </c>
      <c r="G46" s="803">
        <f t="shared" ref="G46:G47" si="9">(H46)/F46</f>
        <v>20000</v>
      </c>
      <c r="H46" s="803">
        <v>20000</v>
      </c>
      <c r="I46" s="803">
        <v>1</v>
      </c>
      <c r="J46" s="803">
        <f t="shared" ref="J46:J47" si="10">(K46)/I46</f>
        <v>20000</v>
      </c>
      <c r="K46" s="547">
        <v>20000</v>
      </c>
      <c r="L46" s="847"/>
      <c r="M46" s="895"/>
      <c r="N46" s="1157"/>
      <c r="O46" s="896"/>
      <c r="P46" s="572"/>
      <c r="Q46" s="572"/>
      <c r="R46" s="572"/>
      <c r="S46" s="572"/>
      <c r="T46" s="572"/>
      <c r="U46" s="572"/>
      <c r="V46" s="572"/>
    </row>
    <row r="47" spans="1:22" s="573" customFormat="1" ht="23.25" customHeight="1" x14ac:dyDescent="0.25">
      <c r="A47" s="586"/>
      <c r="B47" s="1065"/>
      <c r="C47" s="534"/>
      <c r="D47" s="1017" t="s">
        <v>852</v>
      </c>
      <c r="E47" s="1065" t="s">
        <v>718</v>
      </c>
      <c r="F47" s="803">
        <v>2</v>
      </c>
      <c r="G47" s="803">
        <f t="shared" si="9"/>
        <v>230000</v>
      </c>
      <c r="H47" s="804">
        <v>460000</v>
      </c>
      <c r="I47" s="803">
        <v>2</v>
      </c>
      <c r="J47" s="803">
        <f t="shared" si="10"/>
        <v>230000</v>
      </c>
      <c r="K47" s="549">
        <v>460000</v>
      </c>
      <c r="L47" s="847"/>
      <c r="M47" s="895"/>
      <c r="N47" s="896"/>
      <c r="O47" s="896"/>
      <c r="P47" s="572"/>
      <c r="Q47" s="572"/>
      <c r="R47" s="572"/>
      <c r="S47" s="572"/>
      <c r="T47" s="572"/>
      <c r="U47" s="572"/>
      <c r="V47" s="572"/>
    </row>
    <row r="48" spans="1:22" s="573" customFormat="1" ht="12" customHeight="1" x14ac:dyDescent="0.25">
      <c r="A48" s="1068">
        <v>244</v>
      </c>
      <c r="B48" s="1068">
        <v>310</v>
      </c>
      <c r="C48" s="1068">
        <v>971</v>
      </c>
      <c r="D48" s="890" t="s">
        <v>747</v>
      </c>
      <c r="E48" s="1082"/>
      <c r="F48" s="1024"/>
      <c r="G48" s="1021"/>
      <c r="H48" s="796">
        <f>SUM(H49:H51)</f>
        <v>895800</v>
      </c>
      <c r="I48" s="584"/>
      <c r="J48" s="585"/>
      <c r="K48" s="796">
        <f>SUM(K49:K51)</f>
        <v>988000</v>
      </c>
      <c r="L48" s="1934"/>
      <c r="M48" s="1934"/>
      <c r="N48" s="1934"/>
      <c r="O48" s="1934"/>
      <c r="P48" s="572"/>
      <c r="Q48" s="572"/>
      <c r="R48" s="572"/>
      <c r="S48" s="572"/>
      <c r="T48" s="572"/>
      <c r="U48" s="572"/>
      <c r="V48" s="572"/>
    </row>
    <row r="49" spans="1:22" s="573" customFormat="1" ht="29.25" customHeight="1" x14ac:dyDescent="0.25">
      <c r="A49" s="790"/>
      <c r="B49" s="790"/>
      <c r="C49" s="790"/>
      <c r="D49" s="1022" t="s">
        <v>792</v>
      </c>
      <c r="E49" s="1436" t="s">
        <v>769</v>
      </c>
      <c r="F49" s="725">
        <v>12</v>
      </c>
      <c r="G49" s="775">
        <f>H49/F49</f>
        <v>43700</v>
      </c>
      <c r="H49" s="547">
        <v>524400</v>
      </c>
      <c r="I49" s="725">
        <v>12</v>
      </c>
      <c r="J49" s="775">
        <f>K49/I49</f>
        <v>51383.33</v>
      </c>
      <c r="K49" s="547">
        <v>616600</v>
      </c>
      <c r="L49" s="847"/>
      <c r="M49" s="895"/>
      <c r="N49" s="896"/>
      <c r="O49" s="896"/>
      <c r="P49" s="572"/>
      <c r="Q49" s="572"/>
      <c r="R49" s="572"/>
      <c r="S49" s="572"/>
      <c r="T49" s="572"/>
      <c r="U49" s="572"/>
      <c r="V49" s="572"/>
    </row>
    <row r="50" spans="1:22" s="573" customFormat="1" ht="19.5" customHeight="1" x14ac:dyDescent="0.25">
      <c r="A50" s="790"/>
      <c r="B50" s="790"/>
      <c r="C50" s="790"/>
      <c r="D50" s="1022" t="s">
        <v>793</v>
      </c>
      <c r="E50" s="1436" t="s">
        <v>181</v>
      </c>
      <c r="F50" s="1437">
        <f>7+1</f>
        <v>8</v>
      </c>
      <c r="G50" s="1428">
        <f>288400-153000</f>
        <v>135400</v>
      </c>
      <c r="H50" s="1428">
        <v>288400</v>
      </c>
      <c r="I50" s="1437">
        <f>7+1</f>
        <v>8</v>
      </c>
      <c r="J50" s="1428">
        <f>288400-153000</f>
        <v>135400</v>
      </c>
      <c r="K50" s="1428">
        <v>288400</v>
      </c>
      <c r="L50" s="847"/>
      <c r="M50" s="895"/>
      <c r="N50" s="896"/>
      <c r="O50" s="896"/>
      <c r="P50" s="572"/>
      <c r="Q50" s="572"/>
      <c r="R50" s="572"/>
      <c r="S50" s="572"/>
      <c r="T50" s="572"/>
      <c r="U50" s="572"/>
      <c r="V50" s="572"/>
    </row>
    <row r="51" spans="1:22" s="573" customFormat="1" ht="16.5" customHeight="1" x14ac:dyDescent="0.25">
      <c r="A51" s="790"/>
      <c r="B51" s="790"/>
      <c r="C51" s="790"/>
      <c r="D51" s="1022" t="s">
        <v>876</v>
      </c>
      <c r="E51" s="1436" t="s">
        <v>181</v>
      </c>
      <c r="F51" s="1437">
        <v>20</v>
      </c>
      <c r="G51" s="1428">
        <f t="shared" ref="G51" si="11">H51/F51</f>
        <v>4150</v>
      </c>
      <c r="H51" s="1428">
        <v>83000</v>
      </c>
      <c r="I51" s="1437">
        <v>20</v>
      </c>
      <c r="J51" s="1428">
        <f t="shared" ref="J51" si="12">K51/I51</f>
        <v>4150</v>
      </c>
      <c r="K51" s="1428">
        <v>83000</v>
      </c>
      <c r="L51" s="847"/>
      <c r="M51" s="895"/>
      <c r="N51" s="896"/>
      <c r="O51" s="896"/>
      <c r="P51" s="572"/>
      <c r="Q51" s="572"/>
      <c r="R51" s="572"/>
      <c r="S51" s="572"/>
      <c r="T51" s="572"/>
      <c r="U51" s="572"/>
      <c r="V51" s="572"/>
    </row>
    <row r="52" spans="1:22" s="573" customFormat="1" ht="53.25" customHeight="1" x14ac:dyDescent="0.25">
      <c r="A52" s="583">
        <v>244</v>
      </c>
      <c r="B52" s="561">
        <v>340</v>
      </c>
      <c r="C52" s="561" t="s">
        <v>729</v>
      </c>
      <c r="D52" s="1091" t="s">
        <v>846</v>
      </c>
      <c r="E52" s="1082"/>
      <c r="F52" s="580"/>
      <c r="G52" s="1040"/>
      <c r="H52" s="545">
        <f>SUM(H53:H63)</f>
        <v>1313200</v>
      </c>
      <c r="I52" s="584"/>
      <c r="J52" s="1026"/>
      <c r="K52" s="796">
        <f>SUM(K53:K63)</f>
        <v>1265200</v>
      </c>
      <c r="L52" s="1937"/>
      <c r="M52" s="1937"/>
      <c r="N52" s="1937"/>
      <c r="O52" s="1937"/>
      <c r="P52" s="572"/>
      <c r="Q52" s="572"/>
      <c r="R52" s="572"/>
      <c r="S52" s="572"/>
      <c r="T52" s="572"/>
      <c r="U52" s="572"/>
      <c r="V52" s="572"/>
    </row>
    <row r="53" spans="1:22" s="573" customFormat="1" ht="18.75" customHeight="1" x14ac:dyDescent="0.25">
      <c r="A53" s="587"/>
      <c r="B53" s="1064"/>
      <c r="C53" s="1064"/>
      <c r="D53" s="1022" t="s">
        <v>794</v>
      </c>
      <c r="E53" s="1064" t="s">
        <v>718</v>
      </c>
      <c r="F53" s="564">
        <v>1</v>
      </c>
      <c r="G53" s="1025">
        <f t="shared" ref="G53:G61" si="13">(H53)/F53</f>
        <v>27000</v>
      </c>
      <c r="H53" s="1025">
        <v>27000</v>
      </c>
      <c r="I53" s="564">
        <v>1</v>
      </c>
      <c r="J53" s="1025">
        <f t="shared" ref="J53:J61" si="14">(K53)/I53</f>
        <v>27000</v>
      </c>
      <c r="K53" s="1025">
        <v>27000</v>
      </c>
      <c r="L53" s="896"/>
      <c r="M53" s="896"/>
      <c r="N53" s="896"/>
      <c r="O53" s="896"/>
      <c r="P53" s="572"/>
      <c r="Q53" s="572"/>
      <c r="R53" s="572"/>
      <c r="S53" s="572"/>
      <c r="T53" s="572"/>
      <c r="U53" s="572"/>
      <c r="V53" s="572"/>
    </row>
    <row r="54" spans="1:22" s="573" customFormat="1" ht="18.75" customHeight="1" x14ac:dyDescent="0.25">
      <c r="A54" s="1064"/>
      <c r="B54" s="1064"/>
      <c r="C54" s="1064"/>
      <c r="D54" s="1022" t="s">
        <v>795</v>
      </c>
      <c r="E54" s="1064" t="s">
        <v>718</v>
      </c>
      <c r="F54" s="564">
        <v>1</v>
      </c>
      <c r="G54" s="1025">
        <f>(H54)/F54</f>
        <v>142500</v>
      </c>
      <c r="H54" s="1025">
        <v>142500</v>
      </c>
      <c r="I54" s="564">
        <v>1</v>
      </c>
      <c r="J54" s="1025">
        <f t="shared" si="14"/>
        <v>142500</v>
      </c>
      <c r="K54" s="1025">
        <v>142500</v>
      </c>
      <c r="L54" s="1764"/>
      <c r="M54" s="895"/>
      <c r="N54" s="1937"/>
      <c r="O54" s="1937"/>
      <c r="P54" s="572"/>
      <c r="Q54" s="572"/>
      <c r="R54" s="572"/>
      <c r="S54" s="572"/>
      <c r="T54" s="572"/>
      <c r="U54" s="572"/>
      <c r="V54" s="572"/>
    </row>
    <row r="55" spans="1:22" s="573" customFormat="1" ht="18.75" customHeight="1" x14ac:dyDescent="0.25">
      <c r="A55" s="1064"/>
      <c r="B55" s="1064"/>
      <c r="C55" s="1064"/>
      <c r="D55" s="1022" t="s">
        <v>862</v>
      </c>
      <c r="E55" s="1064" t="s">
        <v>718</v>
      </c>
      <c r="F55" s="564">
        <v>1</v>
      </c>
      <c r="G55" s="1025">
        <f t="shared" si="13"/>
        <v>157600</v>
      </c>
      <c r="H55" s="1025">
        <v>157600</v>
      </c>
      <c r="I55" s="564">
        <v>1</v>
      </c>
      <c r="J55" s="1025">
        <f t="shared" si="14"/>
        <v>95600</v>
      </c>
      <c r="K55" s="1025">
        <v>95600</v>
      </c>
      <c r="L55" s="1764"/>
      <c r="M55" s="895"/>
      <c r="N55" s="1937"/>
      <c r="O55" s="1937"/>
      <c r="P55" s="572"/>
      <c r="Q55" s="572"/>
      <c r="R55" s="572"/>
      <c r="S55" s="805"/>
      <c r="T55" s="572"/>
      <c r="U55" s="572"/>
      <c r="V55" s="572"/>
    </row>
    <row r="56" spans="1:22" s="573" customFormat="1" ht="18.75" customHeight="1" x14ac:dyDescent="0.25">
      <c r="A56" s="1064"/>
      <c r="B56" s="1064"/>
      <c r="C56" s="1064"/>
      <c r="D56" s="1022" t="s">
        <v>863</v>
      </c>
      <c r="E56" s="1064" t="s">
        <v>718</v>
      </c>
      <c r="F56" s="564">
        <v>1</v>
      </c>
      <c r="G56" s="1025">
        <f t="shared" si="13"/>
        <v>144800</v>
      </c>
      <c r="H56" s="1025">
        <v>144800</v>
      </c>
      <c r="I56" s="564">
        <v>1</v>
      </c>
      <c r="J56" s="1025">
        <f t="shared" si="14"/>
        <v>144800</v>
      </c>
      <c r="K56" s="1025">
        <v>144800</v>
      </c>
      <c r="L56" s="1764"/>
      <c r="M56" s="895"/>
      <c r="N56" s="1937"/>
      <c r="O56" s="1937"/>
      <c r="P56" s="572"/>
      <c r="Q56" s="572"/>
      <c r="R56" s="572"/>
      <c r="S56" s="572"/>
      <c r="T56" s="572"/>
      <c r="U56" s="572"/>
      <c r="V56" s="572"/>
    </row>
    <row r="57" spans="1:22" s="573" customFormat="1" ht="18.75" customHeight="1" x14ac:dyDescent="0.25">
      <c r="A57" s="1064"/>
      <c r="B57" s="1064"/>
      <c r="C57" s="1064"/>
      <c r="D57" s="1022" t="s">
        <v>796</v>
      </c>
      <c r="E57" s="1064" t="s">
        <v>718</v>
      </c>
      <c r="F57" s="564">
        <v>1</v>
      </c>
      <c r="G57" s="1025">
        <f t="shared" si="13"/>
        <v>2700</v>
      </c>
      <c r="H57" s="1025">
        <v>2700</v>
      </c>
      <c r="I57" s="564">
        <v>1</v>
      </c>
      <c r="J57" s="1025">
        <f t="shared" si="14"/>
        <v>2700</v>
      </c>
      <c r="K57" s="1025">
        <v>2700</v>
      </c>
      <c r="L57" s="1764"/>
      <c r="M57" s="895"/>
      <c r="N57" s="1937"/>
      <c r="O57" s="1937"/>
      <c r="P57" s="572"/>
      <c r="Q57" s="572"/>
      <c r="R57" s="572"/>
      <c r="S57" s="572"/>
      <c r="T57" s="572"/>
      <c r="U57" s="572"/>
      <c r="V57" s="572"/>
    </row>
    <row r="58" spans="1:22" s="573" customFormat="1" ht="18.75" customHeight="1" x14ac:dyDescent="0.25">
      <c r="A58" s="1064"/>
      <c r="B58" s="1064"/>
      <c r="C58" s="1064"/>
      <c r="D58" s="1022" t="s">
        <v>797</v>
      </c>
      <c r="E58" s="1064" t="s">
        <v>718</v>
      </c>
      <c r="F58" s="564">
        <v>1</v>
      </c>
      <c r="G58" s="1025">
        <f t="shared" si="13"/>
        <v>81800</v>
      </c>
      <c r="H58" s="1025">
        <v>81800</v>
      </c>
      <c r="I58" s="564">
        <v>1</v>
      </c>
      <c r="J58" s="1025">
        <f t="shared" si="14"/>
        <v>81800</v>
      </c>
      <c r="K58" s="1025">
        <v>81800</v>
      </c>
      <c r="L58" s="1764"/>
      <c r="M58" s="895"/>
      <c r="N58" s="1937"/>
      <c r="O58" s="1937"/>
      <c r="P58" s="572"/>
      <c r="Q58" s="572"/>
      <c r="R58" s="572"/>
      <c r="S58" s="572"/>
      <c r="T58" s="572"/>
      <c r="U58" s="572"/>
      <c r="V58" s="572"/>
    </row>
    <row r="59" spans="1:22" s="573" customFormat="1" ht="18.75" customHeight="1" x14ac:dyDescent="0.25">
      <c r="A59" s="1064"/>
      <c r="B59" s="1064"/>
      <c r="C59" s="1064"/>
      <c r="D59" s="1022" t="s">
        <v>798</v>
      </c>
      <c r="E59" s="1064" t="s">
        <v>718</v>
      </c>
      <c r="F59" s="564">
        <v>1</v>
      </c>
      <c r="G59" s="1025">
        <f t="shared" si="13"/>
        <v>36500</v>
      </c>
      <c r="H59" s="1025">
        <v>36500</v>
      </c>
      <c r="I59" s="564">
        <v>1</v>
      </c>
      <c r="J59" s="1025">
        <f t="shared" si="14"/>
        <v>58500</v>
      </c>
      <c r="K59" s="1025">
        <v>58500</v>
      </c>
      <c r="L59" s="1764"/>
      <c r="M59" s="895"/>
      <c r="N59" s="1937"/>
      <c r="O59" s="1937"/>
      <c r="P59" s="572"/>
      <c r="Q59" s="572"/>
      <c r="R59" s="572"/>
      <c r="S59" s="572"/>
      <c r="T59" s="572"/>
      <c r="U59" s="572"/>
      <c r="V59" s="572"/>
    </row>
    <row r="60" spans="1:22" s="573" customFormat="1" ht="18.75" customHeight="1" x14ac:dyDescent="0.25">
      <c r="A60" s="1064"/>
      <c r="B60" s="1064"/>
      <c r="C60" s="1064"/>
      <c r="D60" s="1022" t="s">
        <v>852</v>
      </c>
      <c r="E60" s="1064" t="s">
        <v>718</v>
      </c>
      <c r="F60" s="564">
        <v>1</v>
      </c>
      <c r="G60" s="1025">
        <f t="shared" si="13"/>
        <v>201300</v>
      </c>
      <c r="H60" s="1025">
        <f>80000+9000+112300</f>
        <v>201300</v>
      </c>
      <c r="I60" s="564">
        <v>1</v>
      </c>
      <c r="J60" s="1025">
        <f t="shared" si="14"/>
        <v>201300</v>
      </c>
      <c r="K60" s="1025">
        <f>80000+9000+112300</f>
        <v>201300</v>
      </c>
      <c r="L60" s="1764"/>
      <c r="M60" s="895"/>
      <c r="N60" s="1937"/>
      <c r="O60" s="1937"/>
      <c r="P60" s="572"/>
      <c r="Q60" s="572"/>
      <c r="R60" s="572"/>
      <c r="S60" s="572"/>
      <c r="T60" s="572"/>
      <c r="U60" s="572"/>
      <c r="V60" s="572"/>
    </row>
    <row r="61" spans="1:22" s="573" customFormat="1" ht="18.75" customHeight="1" x14ac:dyDescent="0.25">
      <c r="A61" s="1064"/>
      <c r="B61" s="1064"/>
      <c r="C61" s="1064"/>
      <c r="D61" s="1022" t="s">
        <v>668</v>
      </c>
      <c r="E61" s="1064" t="s">
        <v>718</v>
      </c>
      <c r="F61" s="564">
        <v>1</v>
      </c>
      <c r="G61" s="1025">
        <f t="shared" si="13"/>
        <v>111000</v>
      </c>
      <c r="H61" s="1025">
        <f>120000-9000</f>
        <v>111000</v>
      </c>
      <c r="I61" s="564">
        <v>1</v>
      </c>
      <c r="J61" s="1025">
        <f t="shared" si="14"/>
        <v>111000</v>
      </c>
      <c r="K61" s="1025">
        <f>120000-9000</f>
        <v>111000</v>
      </c>
      <c r="L61" s="1764"/>
      <c r="M61" s="895"/>
      <c r="N61" s="1937"/>
      <c r="O61" s="1937"/>
      <c r="P61" s="572"/>
      <c r="Q61" s="572"/>
      <c r="R61" s="572"/>
      <c r="S61" s="572"/>
      <c r="T61" s="572"/>
      <c r="U61" s="572"/>
      <c r="V61" s="572"/>
    </row>
    <row r="62" spans="1:22" s="573" customFormat="1" ht="18.75" customHeight="1" x14ac:dyDescent="0.25">
      <c r="A62" s="587"/>
      <c r="B62" s="1064"/>
      <c r="C62" s="1064"/>
      <c r="D62" s="554" t="s">
        <v>857</v>
      </c>
      <c r="E62" s="1064" t="s">
        <v>718</v>
      </c>
      <c r="F62" s="564">
        <v>1</v>
      </c>
      <c r="G62" s="1025">
        <f t="shared" si="7"/>
        <v>150000</v>
      </c>
      <c r="H62" s="1025">
        <v>150000</v>
      </c>
      <c r="I62" s="564">
        <v>2</v>
      </c>
      <c r="J62" s="1025">
        <f t="shared" ref="J62:J63" si="15">(K62)/I62</f>
        <v>75000</v>
      </c>
      <c r="K62" s="1025">
        <v>150000</v>
      </c>
      <c r="L62" s="845"/>
      <c r="M62" s="845"/>
      <c r="N62" s="845"/>
      <c r="O62" s="845"/>
      <c r="P62" s="572"/>
      <c r="Q62" s="572"/>
      <c r="R62" s="572"/>
      <c r="S62" s="572"/>
      <c r="T62" s="572"/>
      <c r="U62" s="572"/>
      <c r="V62" s="572"/>
    </row>
    <row r="63" spans="1:22" s="573" customFormat="1" ht="18.75" customHeight="1" x14ac:dyDescent="0.25">
      <c r="A63" s="586"/>
      <c r="B63" s="1065"/>
      <c r="C63" s="1065"/>
      <c r="D63" s="485" t="s">
        <v>858</v>
      </c>
      <c r="E63" s="1065" t="s">
        <v>718</v>
      </c>
      <c r="F63" s="565">
        <v>1</v>
      </c>
      <c r="G63" s="1027">
        <f t="shared" si="7"/>
        <v>258000</v>
      </c>
      <c r="H63" s="1025">
        <v>258000</v>
      </c>
      <c r="I63" s="565">
        <v>3</v>
      </c>
      <c r="J63" s="1027">
        <f t="shared" si="15"/>
        <v>83333.33</v>
      </c>
      <c r="K63" s="1025">
        <v>250000</v>
      </c>
      <c r="L63" s="847"/>
      <c r="M63" s="895"/>
      <c r="N63" s="896"/>
      <c r="O63" s="896"/>
      <c r="P63" s="572"/>
      <c r="Q63" s="572"/>
      <c r="R63" s="572"/>
      <c r="S63" s="572"/>
      <c r="T63" s="572"/>
      <c r="U63" s="572"/>
      <c r="V63" s="572"/>
    </row>
    <row r="64" spans="1:22" s="573" customFormat="1" ht="34.5" customHeight="1" x14ac:dyDescent="0.25">
      <c r="A64" s="1821" t="s">
        <v>706</v>
      </c>
      <c r="B64" s="1822"/>
      <c r="C64" s="1822"/>
      <c r="D64" s="1822"/>
      <c r="E64" s="1823"/>
      <c r="F64" s="740"/>
      <c r="G64" s="740"/>
      <c r="H64" s="740">
        <f>H65+H69+H70</f>
        <v>135000</v>
      </c>
      <c r="I64" s="740"/>
      <c r="J64" s="740"/>
      <c r="K64" s="1154">
        <f>K65+K69+K70</f>
        <v>135000</v>
      </c>
      <c r="L64" s="1934"/>
      <c r="M64" s="1934"/>
      <c r="N64" s="1934"/>
      <c r="O64" s="1934"/>
      <c r="P64" s="572"/>
      <c r="Q64" s="572"/>
      <c r="R64" s="572"/>
      <c r="S64" s="572"/>
      <c r="T64" s="572"/>
      <c r="U64" s="572"/>
      <c r="V64" s="572"/>
    </row>
    <row r="65" spans="1:27" s="573" customFormat="1" ht="41.25" customHeight="1" x14ac:dyDescent="0.25">
      <c r="A65" s="1068">
        <v>247</v>
      </c>
      <c r="B65" s="1070">
        <v>223</v>
      </c>
      <c r="C65" s="1068">
        <v>931</v>
      </c>
      <c r="D65" s="890" t="s">
        <v>707</v>
      </c>
      <c r="E65" s="561"/>
      <c r="F65" s="571"/>
      <c r="G65" s="545"/>
      <c r="H65" s="545">
        <f>SUM(H66:H68)</f>
        <v>20000</v>
      </c>
      <c r="I65" s="571"/>
      <c r="J65" s="545"/>
      <c r="K65" s="796">
        <f>SUM(K66:K68)</f>
        <v>20000</v>
      </c>
      <c r="L65" s="1935"/>
      <c r="M65" s="1936"/>
      <c r="N65" s="1937"/>
      <c r="O65" s="1937"/>
      <c r="P65" s="572"/>
      <c r="Q65" s="572"/>
      <c r="R65" s="572"/>
      <c r="S65" s="572"/>
      <c r="T65" s="572"/>
      <c r="U65" s="572"/>
      <c r="V65" s="572"/>
    </row>
    <row r="66" spans="1:27" s="573" customFormat="1" ht="23.4" customHeight="1" x14ac:dyDescent="0.25">
      <c r="A66" s="535"/>
      <c r="B66" s="530"/>
      <c r="C66" s="535"/>
      <c r="D66" s="892" t="s">
        <v>373</v>
      </c>
      <c r="E66" s="1064" t="s">
        <v>371</v>
      </c>
      <c r="F66" s="578">
        <v>11.94</v>
      </c>
      <c r="G66" s="547">
        <f>H66/F66</f>
        <v>1675.04</v>
      </c>
      <c r="H66" s="547">
        <v>20000</v>
      </c>
      <c r="I66" s="578">
        <v>11.94</v>
      </c>
      <c r="J66" s="547">
        <f>K66/I66</f>
        <v>1675.04</v>
      </c>
      <c r="K66" s="803">
        <v>20000</v>
      </c>
      <c r="L66" s="1935"/>
      <c r="M66" s="1936"/>
      <c r="N66" s="1937"/>
      <c r="O66" s="1937"/>
      <c r="P66" s="572"/>
      <c r="Q66" s="572"/>
      <c r="R66" s="572"/>
      <c r="S66" s="572"/>
      <c r="T66" s="572"/>
      <c r="U66" s="572"/>
      <c r="V66" s="572"/>
    </row>
    <row r="67" spans="1:27" s="573" customFormat="1" hidden="1" x14ac:dyDescent="0.25">
      <c r="A67" s="535"/>
      <c r="B67" s="530"/>
      <c r="C67" s="535"/>
      <c r="D67" s="892" t="s">
        <v>372</v>
      </c>
      <c r="E67" s="1064" t="s">
        <v>371</v>
      </c>
      <c r="F67" s="578"/>
      <c r="G67" s="547" t="e">
        <f>(H67+#REF!)/F67</f>
        <v>#REF!</v>
      </c>
      <c r="H67" s="547"/>
      <c r="I67" s="578"/>
      <c r="J67" s="547" t="e">
        <f>(K67+#REF!)/I67</f>
        <v>#REF!</v>
      </c>
      <c r="K67" s="803"/>
      <c r="L67" s="847"/>
      <c r="M67" s="895"/>
      <c r="N67" s="896"/>
      <c r="O67" s="896"/>
      <c r="P67" s="572"/>
      <c r="Q67" s="572"/>
      <c r="R67" s="572"/>
      <c r="S67" s="572"/>
      <c r="T67" s="572"/>
      <c r="U67" s="572"/>
      <c r="V67" s="572"/>
    </row>
    <row r="68" spans="1:27" s="573" customFormat="1" hidden="1" x14ac:dyDescent="0.25">
      <c r="A68" s="536"/>
      <c r="B68" s="533"/>
      <c r="C68" s="536"/>
      <c r="D68" s="894" t="s">
        <v>374</v>
      </c>
      <c r="E68" s="1065" t="s">
        <v>435</v>
      </c>
      <c r="F68" s="574"/>
      <c r="G68" s="547" t="e">
        <f>(H68+#REF!)/F68</f>
        <v>#REF!</v>
      </c>
      <c r="H68" s="549"/>
      <c r="I68" s="574"/>
      <c r="J68" s="547" t="e">
        <f>(K68+#REF!)/I68</f>
        <v>#REF!</v>
      </c>
      <c r="K68" s="804"/>
      <c r="L68" s="847"/>
      <c r="M68" s="895"/>
      <c r="N68" s="896"/>
      <c r="O68" s="896"/>
      <c r="P68" s="572"/>
      <c r="Q68" s="572"/>
      <c r="R68" s="572"/>
      <c r="S68" s="572"/>
      <c r="T68" s="572"/>
      <c r="U68" s="572"/>
      <c r="V68" s="572"/>
    </row>
    <row r="69" spans="1:27" s="573" customFormat="1" ht="25.2" customHeight="1" x14ac:dyDescent="0.25">
      <c r="A69" s="1062">
        <v>247</v>
      </c>
      <c r="B69" s="1062">
        <v>223</v>
      </c>
      <c r="C69" s="1062">
        <v>932</v>
      </c>
      <c r="D69" s="750" t="s">
        <v>708</v>
      </c>
      <c r="E69" s="591" t="s">
        <v>709</v>
      </c>
      <c r="F69" s="566">
        <v>3311.26</v>
      </c>
      <c r="G69" s="724">
        <f>H69/F69</f>
        <v>4.53</v>
      </c>
      <c r="H69" s="724">
        <v>15000</v>
      </c>
      <c r="I69" s="566">
        <v>3311.26</v>
      </c>
      <c r="J69" s="724">
        <f>K69/I69</f>
        <v>4.53</v>
      </c>
      <c r="K69" s="824">
        <v>15000</v>
      </c>
      <c r="L69" s="847"/>
      <c r="M69" s="895"/>
      <c r="N69" s="896"/>
      <c r="O69" s="896"/>
      <c r="P69" s="572"/>
      <c r="Q69" s="572"/>
      <c r="R69" s="572"/>
      <c r="S69" s="572"/>
      <c r="T69" s="572"/>
      <c r="U69" s="572"/>
      <c r="V69" s="572"/>
    </row>
    <row r="70" spans="1:27" s="573" customFormat="1" ht="25.2" customHeight="1" x14ac:dyDescent="0.25">
      <c r="A70" s="561">
        <v>244</v>
      </c>
      <c r="B70" s="538">
        <v>223</v>
      </c>
      <c r="C70" s="561" t="s">
        <v>710</v>
      </c>
      <c r="D70" s="558" t="s">
        <v>711</v>
      </c>
      <c r="E70" s="990"/>
      <c r="F70" s="584"/>
      <c r="G70" s="1026"/>
      <c r="H70" s="1028">
        <f>SUM(H71:H72)</f>
        <v>100000</v>
      </c>
      <c r="I70" s="584"/>
      <c r="J70" s="1026"/>
      <c r="K70" s="1028">
        <f>SUM(K71:K72)</f>
        <v>100000</v>
      </c>
      <c r="L70" s="847"/>
      <c r="M70" s="895"/>
      <c r="N70" s="896"/>
      <c r="O70" s="896"/>
      <c r="P70" s="572"/>
      <c r="Q70" s="572"/>
      <c r="R70" s="572"/>
      <c r="S70" s="572"/>
      <c r="T70" s="572"/>
      <c r="U70" s="572"/>
      <c r="V70" s="572"/>
    </row>
    <row r="71" spans="1:27" s="573" customFormat="1" ht="25.2" customHeight="1" x14ac:dyDescent="0.25">
      <c r="A71" s="576"/>
      <c r="B71" s="537"/>
      <c r="C71" s="576"/>
      <c r="D71" s="557" t="s">
        <v>914</v>
      </c>
      <c r="E71" s="587" t="s">
        <v>718</v>
      </c>
      <c r="F71" s="564">
        <v>1</v>
      </c>
      <c r="G71" s="1025">
        <f>H71/F71</f>
        <v>50000</v>
      </c>
      <c r="H71" s="1025">
        <v>50000</v>
      </c>
      <c r="I71" s="564">
        <v>1</v>
      </c>
      <c r="J71" s="1025">
        <f>K71/I71</f>
        <v>50000</v>
      </c>
      <c r="K71" s="1025">
        <v>50000</v>
      </c>
      <c r="L71" s="1447"/>
      <c r="M71" s="895"/>
      <c r="N71" s="1446"/>
      <c r="O71" s="1446"/>
      <c r="P71" s="572"/>
      <c r="Q71" s="572"/>
      <c r="R71" s="572"/>
      <c r="S71" s="572"/>
      <c r="T71" s="572"/>
      <c r="U71" s="572"/>
      <c r="V71" s="572"/>
    </row>
    <row r="72" spans="1:27" s="573" customFormat="1" ht="25.2" customHeight="1" thickBot="1" x14ac:dyDescent="0.3">
      <c r="A72" s="1033"/>
      <c r="B72" s="1032"/>
      <c r="C72" s="1033"/>
      <c r="D72" s="1034" t="s">
        <v>712</v>
      </c>
      <c r="E72" s="1035" t="s">
        <v>714</v>
      </c>
      <c r="F72" s="1036">
        <v>666.67</v>
      </c>
      <c r="G72" s="1037">
        <f>(H72)/F72</f>
        <v>75</v>
      </c>
      <c r="H72" s="1037">
        <v>50000</v>
      </c>
      <c r="I72" s="1036">
        <v>666.67</v>
      </c>
      <c r="J72" s="1037">
        <f t="shared" ref="J72" si="16">(K72)/I72</f>
        <v>75</v>
      </c>
      <c r="K72" s="1037">
        <v>50000</v>
      </c>
      <c r="L72" s="847"/>
      <c r="M72" s="895"/>
      <c r="N72" s="896"/>
      <c r="O72" s="896"/>
      <c r="P72" s="572"/>
      <c r="Q72" s="572"/>
      <c r="R72" s="572"/>
      <c r="S72" s="572"/>
      <c r="T72" s="572"/>
      <c r="U72" s="572"/>
      <c r="V72" s="572"/>
    </row>
    <row r="73" spans="1:27" x14ac:dyDescent="0.25">
      <c r="A73" s="1160"/>
      <c r="B73" s="1160"/>
      <c r="C73" s="1160"/>
      <c r="D73" s="1161" t="s">
        <v>8</v>
      </c>
      <c r="E73" s="1162"/>
      <c r="F73" s="1163"/>
      <c r="G73" s="1164"/>
      <c r="H73" s="1165">
        <f>H9+H15+H17+H20+H64</f>
        <v>5618300</v>
      </c>
      <c r="I73" s="1163"/>
      <c r="J73" s="1164"/>
      <c r="K73" s="1165">
        <f>K9+K15+K17+K20+K64</f>
        <v>5880300</v>
      </c>
      <c r="L73" s="848"/>
      <c r="M73" s="885"/>
      <c r="N73" s="850"/>
      <c r="O73" s="850"/>
    </row>
    <row r="74" spans="1:27" ht="36.75" customHeight="1" x14ac:dyDescent="0.25">
      <c r="L74" s="848"/>
      <c r="M74" s="885"/>
      <c r="N74" s="850"/>
      <c r="O74" s="850"/>
    </row>
    <row r="75" spans="1:27" ht="11.25" customHeight="1" x14ac:dyDescent="0.25">
      <c r="A75" s="1820" t="s">
        <v>780</v>
      </c>
      <c r="B75" s="1820"/>
      <c r="C75" s="1820"/>
      <c r="D75" s="1820"/>
      <c r="H75" s="925">
        <f>'поступления 810 26-28'!J82</f>
        <v>5618300</v>
      </c>
      <c r="K75" s="925">
        <f>'поступления 810 26-28'!K82</f>
        <v>5880300</v>
      </c>
    </row>
    <row r="76" spans="1:27" ht="12" customHeight="1" x14ac:dyDescent="0.25">
      <c r="A76" s="1819" t="s">
        <v>128</v>
      </c>
      <c r="B76" s="1819"/>
      <c r="C76" s="1819"/>
      <c r="H76" s="925">
        <f>H75-H73</f>
        <v>0</v>
      </c>
      <c r="K76" s="925">
        <f>K75-K73</f>
        <v>0</v>
      </c>
    </row>
    <row r="77" spans="1:27" ht="12.75" customHeight="1" x14ac:dyDescent="0.25"/>
    <row r="78" spans="1:27" x14ac:dyDescent="0.25">
      <c r="A78" s="825"/>
      <c r="B78" s="825"/>
      <c r="C78" s="825"/>
      <c r="E78" s="841"/>
      <c r="F78" s="817"/>
      <c r="G78" s="842"/>
      <c r="H78" s="842"/>
      <c r="I78" s="817"/>
      <c r="J78" s="842"/>
      <c r="K78" s="842"/>
    </row>
    <row r="79" spans="1:27" s="788" customFormat="1" x14ac:dyDescent="0.25">
      <c r="A79" s="825"/>
      <c r="B79" s="825"/>
      <c r="C79" s="825"/>
      <c r="D79" s="841"/>
      <c r="E79" s="841"/>
      <c r="F79" s="817"/>
      <c r="G79" s="842"/>
      <c r="H79" s="842"/>
      <c r="I79" s="817"/>
      <c r="J79" s="842"/>
      <c r="K79" s="842"/>
      <c r="L79" s="817"/>
      <c r="M79" s="881"/>
      <c r="N79" s="925"/>
      <c r="O79" s="925"/>
      <c r="P79" s="528"/>
      <c r="Q79" s="528"/>
      <c r="R79" s="528"/>
      <c r="S79" s="528"/>
      <c r="T79" s="528"/>
      <c r="U79" s="528"/>
      <c r="V79" s="528"/>
      <c r="W79" s="529"/>
      <c r="X79" s="529"/>
      <c r="Y79" s="529"/>
      <c r="Z79" s="529"/>
      <c r="AA79" s="529"/>
    </row>
    <row r="80" spans="1:27" s="788" customFormat="1" x14ac:dyDescent="0.25">
      <c r="A80" s="825"/>
      <c r="B80" s="825"/>
      <c r="C80" s="825"/>
      <c r="D80" s="841"/>
      <c r="E80" s="841"/>
      <c r="F80" s="817"/>
      <c r="G80" s="842"/>
      <c r="H80" s="842"/>
      <c r="I80" s="817"/>
      <c r="J80" s="842"/>
      <c r="K80" s="842"/>
      <c r="L80" s="817"/>
      <c r="M80" s="881"/>
      <c r="N80" s="925"/>
      <c r="O80" s="925"/>
      <c r="P80" s="528"/>
      <c r="Q80" s="528"/>
      <c r="R80" s="528"/>
      <c r="S80" s="528"/>
      <c r="T80" s="528"/>
      <c r="U80" s="528"/>
      <c r="V80" s="528"/>
      <c r="W80" s="529"/>
      <c r="X80" s="529"/>
      <c r="Y80" s="529"/>
      <c r="Z80" s="529"/>
      <c r="AA80" s="529"/>
    </row>
    <row r="81" spans="1:27" s="788" customFormat="1" x14ac:dyDescent="0.25">
      <c r="A81" s="825"/>
      <c r="B81" s="825"/>
      <c r="C81" s="825"/>
      <c r="D81" s="841"/>
      <c r="E81" s="841"/>
      <c r="F81" s="817"/>
      <c r="G81" s="842"/>
      <c r="H81" s="842"/>
      <c r="I81" s="817"/>
      <c r="J81" s="842"/>
      <c r="K81" s="842"/>
      <c r="L81" s="817"/>
      <c r="M81" s="881"/>
      <c r="N81" s="925"/>
      <c r="O81" s="925"/>
      <c r="P81" s="528"/>
      <c r="Q81" s="528"/>
      <c r="R81" s="528"/>
      <c r="S81" s="528"/>
      <c r="T81" s="528"/>
      <c r="U81" s="528"/>
      <c r="V81" s="528"/>
      <c r="W81" s="529"/>
      <c r="X81" s="529"/>
      <c r="Y81" s="529"/>
      <c r="Z81" s="529"/>
      <c r="AA81" s="529"/>
    </row>
    <row r="82" spans="1:27" s="788" customFormat="1" x14ac:dyDescent="0.25">
      <c r="A82" s="825"/>
      <c r="B82" s="825"/>
      <c r="C82" s="825"/>
      <c r="D82" s="841"/>
      <c r="E82" s="841"/>
      <c r="F82" s="817"/>
      <c r="G82" s="842"/>
      <c r="H82" s="842"/>
      <c r="I82" s="817"/>
      <c r="J82" s="842"/>
      <c r="K82" s="842"/>
      <c r="L82" s="817"/>
      <c r="M82" s="881"/>
      <c r="N82" s="925"/>
      <c r="O82" s="925"/>
      <c r="P82" s="528"/>
      <c r="Q82" s="528"/>
      <c r="R82" s="528"/>
      <c r="S82" s="528"/>
      <c r="T82" s="528"/>
      <c r="U82" s="528"/>
      <c r="V82" s="528"/>
      <c r="W82" s="529"/>
      <c r="X82" s="529"/>
      <c r="Y82" s="529"/>
      <c r="Z82" s="529"/>
      <c r="AA82" s="529"/>
    </row>
    <row r="83" spans="1:27" s="788" customFormat="1" x14ac:dyDescent="0.25">
      <c r="A83" s="825"/>
      <c r="B83" s="825"/>
      <c r="C83" s="825"/>
      <c r="D83" s="841"/>
      <c r="E83" s="841"/>
      <c r="F83" s="817"/>
      <c r="G83" s="842"/>
      <c r="H83" s="842"/>
      <c r="I83" s="817"/>
      <c r="J83" s="842"/>
      <c r="K83" s="842"/>
      <c r="L83" s="817"/>
      <c r="M83" s="881"/>
      <c r="N83" s="925"/>
      <c r="O83" s="925"/>
      <c r="P83" s="528"/>
      <c r="Q83" s="528"/>
      <c r="R83" s="528"/>
      <c r="S83" s="528"/>
      <c r="T83" s="528"/>
      <c r="U83" s="528"/>
      <c r="V83" s="528"/>
      <c r="W83" s="529"/>
      <c r="X83" s="529"/>
      <c r="Y83" s="529"/>
      <c r="Z83" s="529"/>
      <c r="AA83" s="529"/>
    </row>
    <row r="84" spans="1:27" s="788" customFormat="1" x14ac:dyDescent="0.25">
      <c r="A84" s="825"/>
      <c r="B84" s="825"/>
      <c r="C84" s="825"/>
      <c r="D84" s="841"/>
      <c r="E84" s="841"/>
      <c r="F84" s="817"/>
      <c r="G84" s="842"/>
      <c r="H84" s="842"/>
      <c r="I84" s="817"/>
      <c r="J84" s="842"/>
      <c r="K84" s="842"/>
      <c r="L84" s="817"/>
      <c r="M84" s="881"/>
      <c r="N84" s="925"/>
      <c r="O84" s="925"/>
      <c r="P84" s="528"/>
      <c r="Q84" s="528"/>
      <c r="R84" s="528"/>
      <c r="S84" s="528"/>
      <c r="T84" s="528"/>
      <c r="U84" s="528"/>
      <c r="V84" s="528"/>
      <c r="W84" s="529"/>
      <c r="X84" s="529"/>
      <c r="Y84" s="529"/>
      <c r="Z84" s="529"/>
      <c r="AA84" s="529"/>
    </row>
    <row r="85" spans="1:27" s="788" customFormat="1" x14ac:dyDescent="0.25">
      <c r="A85" s="825"/>
      <c r="B85" s="825"/>
      <c r="C85" s="825"/>
      <c r="D85" s="841"/>
      <c r="E85" s="841"/>
      <c r="F85" s="817"/>
      <c r="G85" s="842"/>
      <c r="H85" s="842"/>
      <c r="I85" s="817"/>
      <c r="J85" s="842"/>
      <c r="K85" s="842"/>
      <c r="L85" s="817"/>
      <c r="M85" s="881"/>
      <c r="N85" s="925"/>
      <c r="O85" s="925"/>
      <c r="P85" s="528"/>
      <c r="Q85" s="528"/>
      <c r="R85" s="528"/>
      <c r="S85" s="528"/>
      <c r="T85" s="528"/>
      <c r="U85" s="528"/>
      <c r="V85" s="528"/>
      <c r="W85" s="529"/>
      <c r="X85" s="529"/>
      <c r="Y85" s="529"/>
      <c r="Z85" s="529"/>
      <c r="AA85" s="529"/>
    </row>
    <row r="86" spans="1:27" s="788" customFormat="1" x14ac:dyDescent="0.25">
      <c r="A86" s="897"/>
      <c r="B86" s="897"/>
      <c r="C86" s="897"/>
      <c r="D86" s="904"/>
      <c r="E86" s="841"/>
      <c r="F86" s="817"/>
      <c r="G86" s="842"/>
      <c r="H86" s="842"/>
      <c r="I86" s="817"/>
      <c r="J86" s="842"/>
      <c r="K86" s="842"/>
      <c r="L86" s="817"/>
      <c r="M86" s="881"/>
      <c r="N86" s="925"/>
      <c r="O86" s="925"/>
      <c r="P86" s="528"/>
      <c r="Q86" s="528"/>
      <c r="R86" s="528"/>
      <c r="S86" s="528"/>
      <c r="T86" s="528"/>
      <c r="U86" s="528"/>
      <c r="V86" s="528"/>
      <c r="W86" s="529"/>
      <c r="X86" s="529"/>
      <c r="Y86" s="529"/>
      <c r="Z86" s="529"/>
      <c r="AA86" s="529"/>
    </row>
    <row r="87" spans="1:27" s="788" customFormat="1" x14ac:dyDescent="0.25">
      <c r="A87" s="897"/>
      <c r="B87" s="897"/>
      <c r="C87" s="897"/>
      <c r="D87" s="904"/>
      <c r="E87" s="841"/>
      <c r="F87" s="817"/>
      <c r="G87" s="842"/>
      <c r="H87" s="842"/>
      <c r="I87" s="817"/>
      <c r="J87" s="842"/>
      <c r="K87" s="842"/>
      <c r="L87" s="817"/>
      <c r="M87" s="881"/>
      <c r="N87" s="925"/>
      <c r="O87" s="925"/>
      <c r="P87" s="528"/>
      <c r="Q87" s="528"/>
      <c r="R87" s="528"/>
      <c r="S87" s="528"/>
      <c r="T87" s="528"/>
      <c r="U87" s="528"/>
      <c r="V87" s="528"/>
      <c r="W87" s="529"/>
      <c r="X87" s="529"/>
      <c r="Y87" s="529"/>
      <c r="Z87" s="529"/>
      <c r="AA87" s="529"/>
    </row>
    <row r="88" spans="1:27" s="788" customFormat="1" x14ac:dyDescent="0.25">
      <c r="A88" s="897"/>
      <c r="B88" s="897"/>
      <c r="C88" s="897"/>
      <c r="D88" s="904"/>
      <c r="E88" s="841"/>
      <c r="F88" s="817"/>
      <c r="G88" s="842"/>
      <c r="H88" s="842"/>
      <c r="I88" s="817"/>
      <c r="J88" s="842"/>
      <c r="K88" s="842"/>
      <c r="L88" s="817"/>
      <c r="M88" s="881"/>
      <c r="N88" s="925"/>
      <c r="O88" s="925"/>
      <c r="P88" s="528"/>
      <c r="Q88" s="528"/>
      <c r="R88" s="528"/>
      <c r="S88" s="528"/>
      <c r="T88" s="528"/>
      <c r="U88" s="528"/>
      <c r="V88" s="528"/>
      <c r="W88" s="529"/>
      <c r="X88" s="529"/>
      <c r="Y88" s="529"/>
      <c r="Z88" s="529"/>
      <c r="AA88" s="529"/>
    </row>
    <row r="89" spans="1:27" s="788" customFormat="1" x14ac:dyDescent="0.25">
      <c r="A89" s="897"/>
      <c r="B89" s="897"/>
      <c r="C89" s="897"/>
      <c r="D89" s="904"/>
      <c r="E89" s="841"/>
      <c r="F89" s="817"/>
      <c r="G89" s="842"/>
      <c r="H89" s="842"/>
      <c r="I89" s="817"/>
      <c r="J89" s="842"/>
      <c r="K89" s="842"/>
      <c r="L89" s="817"/>
      <c r="M89" s="881"/>
      <c r="N89" s="925"/>
      <c r="O89" s="925"/>
      <c r="P89" s="528"/>
      <c r="Q89" s="528"/>
      <c r="R89" s="528"/>
      <c r="S89" s="528"/>
      <c r="T89" s="528"/>
      <c r="U89" s="528"/>
      <c r="V89" s="528"/>
      <c r="W89" s="529"/>
      <c r="X89" s="529"/>
      <c r="Y89" s="529"/>
      <c r="Z89" s="529"/>
      <c r="AA89" s="529"/>
    </row>
    <row r="90" spans="1:27" s="788" customFormat="1" x14ac:dyDescent="0.25">
      <c r="A90" s="897"/>
      <c r="B90" s="897"/>
      <c r="C90" s="897"/>
      <c r="D90" s="904"/>
      <c r="E90" s="841"/>
      <c r="F90" s="817"/>
      <c r="G90" s="842"/>
      <c r="H90" s="842"/>
      <c r="I90" s="817"/>
      <c r="J90" s="842"/>
      <c r="K90" s="842"/>
      <c r="L90" s="817"/>
      <c r="M90" s="881"/>
      <c r="N90" s="925"/>
      <c r="O90" s="925"/>
      <c r="P90" s="528"/>
      <c r="Q90" s="528"/>
      <c r="R90" s="528"/>
      <c r="S90" s="528"/>
      <c r="T90" s="528"/>
      <c r="U90" s="528"/>
      <c r="V90" s="528"/>
      <c r="W90" s="529"/>
      <c r="X90" s="529"/>
      <c r="Y90" s="529"/>
      <c r="Z90" s="529"/>
      <c r="AA90" s="529"/>
    </row>
    <row r="91" spans="1:27" s="788" customFormat="1" x14ac:dyDescent="0.25">
      <c r="A91" s="897"/>
      <c r="B91" s="897"/>
      <c r="C91" s="897"/>
      <c r="D91" s="904"/>
      <c r="E91" s="841"/>
      <c r="F91" s="817"/>
      <c r="G91" s="842"/>
      <c r="H91" s="842"/>
      <c r="I91" s="817"/>
      <c r="J91" s="842"/>
      <c r="K91" s="842"/>
      <c r="L91" s="817"/>
      <c r="M91" s="881"/>
      <c r="N91" s="925"/>
      <c r="O91" s="925"/>
      <c r="P91" s="528"/>
      <c r="Q91" s="528"/>
      <c r="R91" s="528"/>
      <c r="S91" s="528"/>
      <c r="T91" s="528"/>
      <c r="U91" s="528"/>
      <c r="V91" s="528"/>
      <c r="W91" s="529"/>
      <c r="X91" s="529"/>
      <c r="Y91" s="529"/>
      <c r="Z91" s="529"/>
      <c r="AA91" s="529"/>
    </row>
    <row r="92" spans="1:27" s="788" customFormat="1" x14ac:dyDescent="0.25">
      <c r="A92" s="897"/>
      <c r="B92" s="897"/>
      <c r="C92" s="897"/>
      <c r="D92" s="904"/>
      <c r="E92" s="841"/>
      <c r="F92" s="817"/>
      <c r="G92" s="842"/>
      <c r="H92" s="842"/>
      <c r="I92" s="817"/>
      <c r="J92" s="842"/>
      <c r="K92" s="842"/>
      <c r="L92" s="817"/>
      <c r="M92" s="881"/>
      <c r="N92" s="925"/>
      <c r="O92" s="925"/>
      <c r="P92" s="528"/>
      <c r="Q92" s="528"/>
      <c r="R92" s="528"/>
      <c r="S92" s="528"/>
      <c r="T92" s="528"/>
      <c r="U92" s="528"/>
      <c r="V92" s="528"/>
      <c r="W92" s="529"/>
      <c r="X92" s="529"/>
      <c r="Y92" s="529"/>
      <c r="Z92" s="529"/>
      <c r="AA92" s="529"/>
    </row>
    <row r="93" spans="1:27" s="788" customFormat="1" x14ac:dyDescent="0.25">
      <c r="A93" s="825"/>
      <c r="B93" s="825"/>
      <c r="C93" s="825"/>
      <c r="D93" s="841"/>
      <c r="E93" s="841"/>
      <c r="F93" s="817"/>
      <c r="G93" s="842"/>
      <c r="H93" s="842"/>
      <c r="I93" s="817"/>
      <c r="J93" s="842"/>
      <c r="K93" s="842"/>
      <c r="L93" s="817"/>
      <c r="M93" s="881"/>
      <c r="N93" s="925"/>
      <c r="O93" s="925"/>
      <c r="P93" s="528"/>
      <c r="Q93" s="528"/>
      <c r="R93" s="528"/>
      <c r="S93" s="528"/>
      <c r="T93" s="528"/>
      <c r="U93" s="528"/>
      <c r="V93" s="528"/>
      <c r="W93" s="529"/>
      <c r="X93" s="529"/>
      <c r="Y93" s="529"/>
      <c r="Z93" s="529"/>
      <c r="AA93" s="529"/>
    </row>
    <row r="94" spans="1:27" s="788" customFormat="1" x14ac:dyDescent="0.25">
      <c r="A94" s="825"/>
      <c r="B94" s="825"/>
      <c r="C94" s="825"/>
      <c r="D94" s="841"/>
      <c r="E94" s="841"/>
      <c r="F94" s="817"/>
      <c r="G94" s="842"/>
      <c r="H94" s="842"/>
      <c r="I94" s="817"/>
      <c r="J94" s="842"/>
      <c r="K94" s="842"/>
      <c r="L94" s="817"/>
      <c r="M94" s="881"/>
      <c r="N94" s="925"/>
      <c r="O94" s="925"/>
      <c r="P94" s="528"/>
      <c r="Q94" s="528"/>
      <c r="R94" s="528"/>
      <c r="S94" s="528"/>
      <c r="T94" s="528"/>
      <c r="U94" s="528"/>
      <c r="V94" s="528"/>
      <c r="W94" s="529"/>
      <c r="X94" s="529"/>
      <c r="Y94" s="529"/>
      <c r="Z94" s="529"/>
      <c r="AA94" s="529"/>
    </row>
    <row r="95" spans="1:27" s="788" customFormat="1" x14ac:dyDescent="0.25">
      <c r="A95" s="825"/>
      <c r="B95" s="825"/>
      <c r="C95" s="825"/>
      <c r="D95" s="841"/>
      <c r="E95" s="841"/>
      <c r="F95" s="817"/>
      <c r="G95" s="842"/>
      <c r="H95" s="842"/>
      <c r="I95" s="817"/>
      <c r="J95" s="842"/>
      <c r="K95" s="842"/>
      <c r="L95" s="817"/>
      <c r="M95" s="881"/>
      <c r="N95" s="925"/>
      <c r="O95" s="925"/>
      <c r="P95" s="528"/>
      <c r="Q95" s="528"/>
      <c r="R95" s="528"/>
      <c r="S95" s="528"/>
      <c r="T95" s="528"/>
      <c r="U95" s="528"/>
      <c r="V95" s="528"/>
      <c r="W95" s="529"/>
      <c r="X95" s="529"/>
      <c r="Y95" s="529"/>
      <c r="Z95" s="529"/>
      <c r="AA95" s="529"/>
    </row>
    <row r="96" spans="1:27" s="788" customFormat="1" x14ac:dyDescent="0.25">
      <c r="A96" s="825"/>
      <c r="B96" s="825"/>
      <c r="C96" s="825"/>
      <c r="D96" s="841"/>
      <c r="E96" s="841"/>
      <c r="F96" s="817"/>
      <c r="G96" s="842"/>
      <c r="H96" s="842"/>
      <c r="I96" s="817"/>
      <c r="J96" s="842"/>
      <c r="K96" s="842"/>
      <c r="L96" s="817"/>
      <c r="M96" s="881"/>
      <c r="N96" s="925"/>
      <c r="O96" s="925"/>
      <c r="P96" s="528"/>
      <c r="Q96" s="528"/>
      <c r="R96" s="528"/>
      <c r="S96" s="528"/>
      <c r="T96" s="528"/>
      <c r="U96" s="528"/>
      <c r="V96" s="528"/>
      <c r="W96" s="529"/>
      <c r="X96" s="529"/>
      <c r="Y96" s="529"/>
      <c r="Z96" s="529"/>
      <c r="AA96" s="529"/>
    </row>
    <row r="97" spans="1:27" s="788" customFormat="1" x14ac:dyDescent="0.25">
      <c r="A97" s="825"/>
      <c r="B97" s="825"/>
      <c r="C97" s="825"/>
      <c r="D97" s="841"/>
      <c r="E97" s="841"/>
      <c r="F97" s="817"/>
      <c r="G97" s="842"/>
      <c r="H97" s="842"/>
      <c r="I97" s="817"/>
      <c r="J97" s="842"/>
      <c r="K97" s="842"/>
      <c r="L97" s="817"/>
      <c r="M97" s="881"/>
      <c r="N97" s="925"/>
      <c r="O97" s="925"/>
      <c r="P97" s="528"/>
      <c r="Q97" s="528"/>
      <c r="R97" s="528"/>
      <c r="S97" s="528"/>
      <c r="T97" s="528"/>
      <c r="U97" s="528"/>
      <c r="V97" s="528"/>
      <c r="W97" s="529"/>
      <c r="X97" s="529"/>
      <c r="Y97" s="529"/>
      <c r="Z97" s="529"/>
      <c r="AA97" s="529"/>
    </row>
    <row r="98" spans="1:27" s="788" customFormat="1" x14ac:dyDescent="0.25">
      <c r="A98" s="825"/>
      <c r="B98" s="825"/>
      <c r="C98" s="825"/>
      <c r="D98" s="841"/>
      <c r="E98" s="841"/>
      <c r="F98" s="817"/>
      <c r="G98" s="842"/>
      <c r="H98" s="842"/>
      <c r="I98" s="817"/>
      <c r="J98" s="842"/>
      <c r="K98" s="842"/>
      <c r="L98" s="817"/>
      <c r="M98" s="881"/>
      <c r="N98" s="925"/>
      <c r="O98" s="925"/>
      <c r="P98" s="528"/>
      <c r="Q98" s="528"/>
      <c r="R98" s="528"/>
      <c r="S98" s="528"/>
      <c r="T98" s="528"/>
      <c r="U98" s="528"/>
      <c r="V98" s="528"/>
      <c r="W98" s="529"/>
      <c r="X98" s="529"/>
      <c r="Y98" s="529"/>
      <c r="Z98" s="529"/>
      <c r="AA98" s="529"/>
    </row>
    <row r="99" spans="1:27" s="788" customFormat="1" x14ac:dyDescent="0.25">
      <c r="A99" s="825"/>
      <c r="B99" s="825"/>
      <c r="C99" s="825"/>
      <c r="D99" s="825"/>
      <c r="E99" s="841"/>
      <c r="F99" s="817"/>
      <c r="G99" s="842"/>
      <c r="H99" s="842"/>
      <c r="I99" s="817"/>
      <c r="J99" s="842"/>
      <c r="K99" s="842"/>
      <c r="L99" s="817"/>
      <c r="M99" s="881"/>
      <c r="N99" s="925"/>
      <c r="O99" s="925"/>
      <c r="P99" s="528"/>
      <c r="Q99" s="528"/>
      <c r="R99" s="528"/>
      <c r="S99" s="528"/>
      <c r="T99" s="528"/>
      <c r="U99" s="528"/>
      <c r="V99" s="528"/>
      <c r="W99" s="529"/>
      <c r="X99" s="529"/>
      <c r="Y99" s="529"/>
      <c r="Z99" s="529"/>
      <c r="AA99" s="529"/>
    </row>
    <row r="100" spans="1:27" s="788" customFormat="1" x14ac:dyDescent="0.25">
      <c r="A100" s="825"/>
      <c r="B100" s="841"/>
      <c r="C100" s="825"/>
      <c r="D100" s="825"/>
      <c r="E100" s="841"/>
      <c r="F100" s="817"/>
      <c r="G100" s="842"/>
      <c r="H100" s="842"/>
      <c r="I100" s="817"/>
      <c r="J100" s="842"/>
      <c r="K100" s="842"/>
      <c r="L100" s="817"/>
      <c r="M100" s="881"/>
      <c r="N100" s="925"/>
      <c r="O100" s="925"/>
      <c r="P100" s="528"/>
      <c r="Q100" s="528"/>
      <c r="R100" s="528"/>
      <c r="S100" s="528"/>
      <c r="T100" s="528"/>
      <c r="U100" s="528"/>
      <c r="V100" s="528"/>
      <c r="W100" s="529"/>
      <c r="X100" s="529"/>
      <c r="Y100" s="529"/>
      <c r="Z100" s="529"/>
      <c r="AA100" s="529"/>
    </row>
    <row r="101" spans="1:27" s="788" customFormat="1" x14ac:dyDescent="0.25">
      <c r="A101" s="825"/>
      <c r="B101" s="825"/>
      <c r="C101" s="825"/>
      <c r="D101" s="825"/>
      <c r="E101" s="841"/>
      <c r="F101" s="817"/>
      <c r="G101" s="842"/>
      <c r="H101" s="842"/>
      <c r="I101" s="817"/>
      <c r="J101" s="842"/>
      <c r="K101" s="842"/>
      <c r="L101" s="817"/>
      <c r="M101" s="881"/>
      <c r="N101" s="925"/>
      <c r="O101" s="925"/>
      <c r="P101" s="528"/>
      <c r="Q101" s="528"/>
      <c r="R101" s="528"/>
      <c r="S101" s="528"/>
      <c r="T101" s="528"/>
      <c r="U101" s="528"/>
      <c r="V101" s="528"/>
      <c r="W101" s="529"/>
      <c r="X101" s="529"/>
      <c r="Y101" s="529"/>
      <c r="Z101" s="529"/>
      <c r="AA101" s="529"/>
    </row>
    <row r="102" spans="1:27" s="788" customFormat="1" x14ac:dyDescent="0.25">
      <c r="A102" s="825"/>
      <c r="B102" s="825"/>
      <c r="C102" s="825"/>
      <c r="D102" s="825"/>
      <c r="E102" s="841"/>
      <c r="F102" s="817"/>
      <c r="G102" s="842"/>
      <c r="H102" s="842"/>
      <c r="I102" s="817"/>
      <c r="J102" s="842"/>
      <c r="K102" s="842"/>
      <c r="L102" s="817"/>
      <c r="M102" s="881"/>
      <c r="N102" s="925"/>
      <c r="O102" s="925"/>
      <c r="P102" s="528"/>
      <c r="Q102" s="528"/>
      <c r="R102" s="528"/>
      <c r="S102" s="528"/>
      <c r="T102" s="528"/>
      <c r="U102" s="528"/>
      <c r="V102" s="528"/>
      <c r="W102" s="529"/>
      <c r="X102" s="529"/>
      <c r="Y102" s="529"/>
      <c r="Z102" s="529"/>
      <c r="AA102" s="529"/>
    </row>
    <row r="103" spans="1:27" s="788" customFormat="1" x14ac:dyDescent="0.25">
      <c r="A103" s="825"/>
      <c r="B103" s="825"/>
      <c r="C103" s="825"/>
      <c r="D103" s="841"/>
      <c r="E103" s="841"/>
      <c r="F103" s="817"/>
      <c r="G103" s="842"/>
      <c r="H103" s="842"/>
      <c r="I103" s="817"/>
      <c r="J103" s="842"/>
      <c r="K103" s="842"/>
      <c r="L103" s="817"/>
      <c r="M103" s="881"/>
      <c r="N103" s="925"/>
      <c r="O103" s="925"/>
      <c r="P103" s="528"/>
      <c r="Q103" s="528"/>
      <c r="R103" s="528"/>
      <c r="S103" s="528"/>
      <c r="T103" s="528"/>
      <c r="U103" s="528"/>
      <c r="V103" s="528"/>
      <c r="W103" s="529"/>
      <c r="X103" s="529"/>
      <c r="Y103" s="529"/>
      <c r="Z103" s="529"/>
      <c r="AA103" s="529"/>
    </row>
    <row r="104" spans="1:27" s="788" customFormat="1" x14ac:dyDescent="0.25">
      <c r="A104" s="825"/>
      <c r="B104" s="825"/>
      <c r="C104" s="825"/>
      <c r="D104" s="841"/>
      <c r="E104" s="841"/>
      <c r="F104" s="817"/>
      <c r="G104" s="842"/>
      <c r="H104" s="842"/>
      <c r="I104" s="817"/>
      <c r="J104" s="842"/>
      <c r="K104" s="842"/>
      <c r="L104" s="817"/>
      <c r="M104" s="881"/>
      <c r="N104" s="925"/>
      <c r="O104" s="925"/>
      <c r="P104" s="528"/>
      <c r="Q104" s="528"/>
      <c r="R104" s="528"/>
      <c r="S104" s="528"/>
      <c r="T104" s="528"/>
      <c r="U104" s="528"/>
      <c r="V104" s="528"/>
      <c r="W104" s="529"/>
      <c r="X104" s="529"/>
      <c r="Y104" s="529"/>
      <c r="Z104" s="529"/>
      <c r="AA104" s="529"/>
    </row>
    <row r="105" spans="1:27" s="788" customFormat="1" x14ac:dyDescent="0.25">
      <c r="A105" s="825"/>
      <c r="B105" s="825"/>
      <c r="C105" s="825"/>
      <c r="D105" s="841"/>
      <c r="E105" s="841"/>
      <c r="F105" s="817"/>
      <c r="G105" s="842"/>
      <c r="H105" s="842"/>
      <c r="I105" s="817"/>
      <c r="J105" s="842"/>
      <c r="K105" s="842"/>
      <c r="L105" s="817"/>
      <c r="M105" s="881"/>
      <c r="N105" s="925"/>
      <c r="O105" s="925"/>
      <c r="P105" s="528"/>
      <c r="Q105" s="528"/>
      <c r="R105" s="528"/>
      <c r="S105" s="528"/>
      <c r="T105" s="528"/>
      <c r="U105" s="528"/>
      <c r="V105" s="528"/>
      <c r="W105" s="529"/>
      <c r="X105" s="529"/>
      <c r="Y105" s="529"/>
      <c r="Z105" s="529"/>
      <c r="AA105" s="529"/>
    </row>
    <row r="106" spans="1:27" s="788" customFormat="1" x14ac:dyDescent="0.25">
      <c r="A106" s="825"/>
      <c r="B106" s="825"/>
      <c r="C106" s="825"/>
      <c r="D106" s="841"/>
      <c r="E106" s="841"/>
      <c r="F106" s="817"/>
      <c r="G106" s="842"/>
      <c r="H106" s="842"/>
      <c r="I106" s="817"/>
      <c r="J106" s="842"/>
      <c r="K106" s="842"/>
      <c r="L106" s="817"/>
      <c r="M106" s="881"/>
      <c r="N106" s="925"/>
      <c r="O106" s="925"/>
      <c r="P106" s="528"/>
      <c r="Q106" s="528"/>
      <c r="R106" s="528"/>
      <c r="S106" s="528"/>
      <c r="T106" s="528"/>
      <c r="U106" s="528"/>
      <c r="V106" s="528"/>
      <c r="W106" s="529"/>
      <c r="X106" s="529"/>
      <c r="Y106" s="529"/>
      <c r="Z106" s="529"/>
      <c r="AA106" s="529"/>
    </row>
    <row r="107" spans="1:27" s="788" customFormat="1" x14ac:dyDescent="0.25">
      <c r="A107" s="825"/>
      <c r="B107" s="825"/>
      <c r="C107" s="825"/>
      <c r="D107" s="841"/>
      <c r="E107" s="841"/>
      <c r="F107" s="817"/>
      <c r="G107" s="842"/>
      <c r="H107" s="842"/>
      <c r="I107" s="817"/>
      <c r="J107" s="842"/>
      <c r="K107" s="842"/>
      <c r="L107" s="817"/>
      <c r="M107" s="881"/>
      <c r="N107" s="925"/>
      <c r="O107" s="925"/>
      <c r="P107" s="528"/>
      <c r="Q107" s="528"/>
      <c r="R107" s="528"/>
      <c r="S107" s="528"/>
      <c r="T107" s="528"/>
      <c r="U107" s="528"/>
      <c r="V107" s="528"/>
      <c r="W107" s="529"/>
      <c r="X107" s="529"/>
      <c r="Y107" s="529"/>
      <c r="Z107" s="529"/>
      <c r="AA107" s="529"/>
    </row>
    <row r="108" spans="1:27" s="788" customFormat="1" x14ac:dyDescent="0.25">
      <c r="A108" s="825"/>
      <c r="B108" s="825"/>
      <c r="C108" s="825"/>
      <c r="D108" s="841"/>
      <c r="E108" s="841"/>
      <c r="F108" s="817"/>
      <c r="G108" s="842"/>
      <c r="H108" s="842"/>
      <c r="I108" s="817"/>
      <c r="J108" s="842"/>
      <c r="K108" s="842"/>
      <c r="L108" s="817"/>
      <c r="M108" s="881"/>
      <c r="N108" s="925"/>
      <c r="O108" s="925"/>
      <c r="P108" s="528"/>
      <c r="Q108" s="528"/>
      <c r="R108" s="528"/>
      <c r="S108" s="528"/>
      <c r="T108" s="528"/>
      <c r="U108" s="528"/>
      <c r="V108" s="528"/>
      <c r="W108" s="529"/>
      <c r="X108" s="529"/>
      <c r="Y108" s="529"/>
      <c r="Z108" s="529"/>
      <c r="AA108" s="529"/>
    </row>
    <row r="109" spans="1:27" s="788" customFormat="1" x14ac:dyDescent="0.25">
      <c r="A109" s="825"/>
      <c r="B109" s="825"/>
      <c r="C109" s="825"/>
      <c r="D109" s="841"/>
      <c r="E109" s="841"/>
      <c r="F109" s="817"/>
      <c r="G109" s="842"/>
      <c r="H109" s="842"/>
      <c r="I109" s="817"/>
      <c r="J109" s="842"/>
      <c r="K109" s="842"/>
      <c r="L109" s="817"/>
      <c r="M109" s="881"/>
      <c r="N109" s="925"/>
      <c r="O109" s="925"/>
      <c r="P109" s="528"/>
      <c r="Q109" s="528"/>
      <c r="R109" s="528"/>
      <c r="S109" s="528"/>
      <c r="T109" s="528"/>
      <c r="U109" s="528"/>
      <c r="V109" s="528"/>
      <c r="W109" s="529"/>
      <c r="X109" s="529"/>
      <c r="Y109" s="529"/>
      <c r="Z109" s="529"/>
      <c r="AA109" s="529"/>
    </row>
    <row r="110" spans="1:27" s="788" customFormat="1" x14ac:dyDescent="0.25">
      <c r="A110" s="825"/>
      <c r="B110" s="825"/>
      <c r="C110" s="825"/>
      <c r="D110" s="841"/>
      <c r="E110" s="841"/>
      <c r="F110" s="817"/>
      <c r="G110" s="842"/>
      <c r="H110" s="842"/>
      <c r="I110" s="817"/>
      <c r="J110" s="842"/>
      <c r="K110" s="842"/>
      <c r="L110" s="817"/>
      <c r="M110" s="881"/>
      <c r="N110" s="925"/>
      <c r="O110" s="925"/>
      <c r="P110" s="528"/>
      <c r="Q110" s="528"/>
      <c r="R110" s="528"/>
      <c r="S110" s="528"/>
      <c r="T110" s="528"/>
      <c r="U110" s="528"/>
      <c r="V110" s="528"/>
      <c r="W110" s="529"/>
      <c r="X110" s="529"/>
      <c r="Y110" s="529"/>
      <c r="Z110" s="529"/>
      <c r="AA110" s="529"/>
    </row>
    <row r="111" spans="1:27" s="788" customFormat="1" x14ac:dyDescent="0.25">
      <c r="A111" s="825"/>
      <c r="B111" s="825"/>
      <c r="C111" s="825"/>
      <c r="D111" s="841"/>
      <c r="E111" s="841"/>
      <c r="F111" s="817"/>
      <c r="G111" s="842"/>
      <c r="H111" s="842"/>
      <c r="I111" s="817"/>
      <c r="J111" s="842"/>
      <c r="K111" s="842"/>
      <c r="L111" s="817"/>
      <c r="M111" s="881"/>
      <c r="N111" s="925"/>
      <c r="O111" s="925"/>
      <c r="P111" s="528"/>
      <c r="Q111" s="528"/>
      <c r="R111" s="528"/>
      <c r="S111" s="528"/>
      <c r="T111" s="528"/>
      <c r="U111" s="528"/>
      <c r="V111" s="528"/>
      <c r="W111" s="529"/>
      <c r="X111" s="529"/>
      <c r="Y111" s="529"/>
      <c r="Z111" s="529"/>
      <c r="AA111" s="529"/>
    </row>
    <row r="112" spans="1:27" s="788" customFormat="1" x14ac:dyDescent="0.25">
      <c r="A112" s="825"/>
      <c r="B112" s="825"/>
      <c r="C112" s="825"/>
      <c r="D112" s="841"/>
      <c r="E112" s="841"/>
      <c r="F112" s="817"/>
      <c r="G112" s="842"/>
      <c r="H112" s="842"/>
      <c r="I112" s="817"/>
      <c r="J112" s="842"/>
      <c r="K112" s="842"/>
      <c r="L112" s="817"/>
      <c r="M112" s="881"/>
      <c r="N112" s="925"/>
      <c r="O112" s="925"/>
      <c r="P112" s="528"/>
      <c r="Q112" s="528"/>
      <c r="R112" s="528"/>
      <c r="S112" s="528"/>
      <c r="T112" s="528"/>
      <c r="U112" s="528"/>
      <c r="V112" s="528"/>
      <c r="W112" s="529"/>
      <c r="X112" s="529"/>
      <c r="Y112" s="529"/>
      <c r="Z112" s="529"/>
      <c r="AA112" s="529"/>
    </row>
    <row r="113" spans="1:27" s="788" customFormat="1" x14ac:dyDescent="0.25">
      <c r="A113" s="825"/>
      <c r="B113" s="825"/>
      <c r="C113" s="825"/>
      <c r="D113" s="841"/>
      <c r="E113" s="841"/>
      <c r="F113" s="817"/>
      <c r="G113" s="842"/>
      <c r="H113" s="842"/>
      <c r="I113" s="817"/>
      <c r="J113" s="842"/>
      <c r="K113" s="842"/>
      <c r="L113" s="817"/>
      <c r="M113" s="881"/>
      <c r="N113" s="925"/>
      <c r="O113" s="925"/>
      <c r="P113" s="528"/>
      <c r="Q113" s="528"/>
      <c r="R113" s="528"/>
      <c r="S113" s="528"/>
      <c r="T113" s="528"/>
      <c r="U113" s="528"/>
      <c r="V113" s="528"/>
      <c r="W113" s="529"/>
      <c r="X113" s="529"/>
      <c r="Y113" s="529"/>
      <c r="Z113" s="529"/>
      <c r="AA113" s="529"/>
    </row>
    <row r="114" spans="1:27" s="788" customFormat="1" x14ac:dyDescent="0.25">
      <c r="A114" s="825"/>
      <c r="B114" s="825"/>
      <c r="C114" s="825"/>
      <c r="D114" s="841"/>
      <c r="E114" s="841"/>
      <c r="F114" s="817"/>
      <c r="G114" s="842"/>
      <c r="H114" s="842"/>
      <c r="I114" s="817"/>
      <c r="J114" s="842"/>
      <c r="K114" s="842"/>
      <c r="L114" s="817"/>
      <c r="M114" s="881"/>
      <c r="N114" s="925"/>
      <c r="O114" s="925"/>
      <c r="P114" s="528"/>
      <c r="Q114" s="528"/>
      <c r="R114" s="528"/>
      <c r="S114" s="528"/>
      <c r="T114" s="528"/>
      <c r="U114" s="528"/>
      <c r="V114" s="528"/>
      <c r="W114" s="529"/>
      <c r="X114" s="529"/>
      <c r="Y114" s="529"/>
      <c r="Z114" s="529"/>
      <c r="AA114" s="529"/>
    </row>
    <row r="115" spans="1:27" s="788" customFormat="1" x14ac:dyDescent="0.25">
      <c r="A115" s="825"/>
      <c r="B115" s="825"/>
      <c r="C115" s="825"/>
      <c r="D115" s="841"/>
      <c r="E115" s="841"/>
      <c r="F115" s="817"/>
      <c r="G115" s="842"/>
      <c r="H115" s="842"/>
      <c r="I115" s="817"/>
      <c r="J115" s="842"/>
      <c r="K115" s="842"/>
      <c r="L115" s="817"/>
      <c r="M115" s="881"/>
      <c r="N115" s="925"/>
      <c r="O115" s="925"/>
      <c r="P115" s="528"/>
      <c r="Q115" s="528"/>
      <c r="R115" s="528"/>
      <c r="S115" s="528"/>
      <c r="T115" s="528"/>
      <c r="U115" s="528"/>
      <c r="V115" s="528"/>
      <c r="W115" s="529"/>
      <c r="X115" s="529"/>
      <c r="Y115" s="529"/>
      <c r="Z115" s="529"/>
      <c r="AA115" s="529"/>
    </row>
    <row r="116" spans="1:27" s="788" customFormat="1" x14ac:dyDescent="0.25">
      <c r="A116" s="825"/>
      <c r="B116" s="825"/>
      <c r="C116" s="825"/>
      <c r="D116" s="841"/>
      <c r="E116" s="841"/>
      <c r="F116" s="817"/>
      <c r="G116" s="842"/>
      <c r="H116" s="842"/>
      <c r="I116" s="817"/>
      <c r="J116" s="842"/>
      <c r="K116" s="842"/>
      <c r="L116" s="817"/>
      <c r="M116" s="881"/>
      <c r="N116" s="925"/>
      <c r="O116" s="925"/>
      <c r="P116" s="528"/>
      <c r="Q116" s="528"/>
      <c r="R116" s="528"/>
      <c r="S116" s="528"/>
      <c r="T116" s="528"/>
      <c r="U116" s="528"/>
      <c r="V116" s="528"/>
      <c r="W116" s="529"/>
      <c r="X116" s="529"/>
      <c r="Y116" s="529"/>
      <c r="Z116" s="529"/>
      <c r="AA116" s="529"/>
    </row>
    <row r="117" spans="1:27" s="788" customFormat="1" x14ac:dyDescent="0.25">
      <c r="A117" s="825"/>
      <c r="B117" s="825"/>
      <c r="C117" s="825"/>
      <c r="D117" s="841"/>
      <c r="E117" s="841"/>
      <c r="F117" s="817"/>
      <c r="G117" s="842"/>
      <c r="H117" s="842"/>
      <c r="I117" s="817"/>
      <c r="J117" s="842"/>
      <c r="K117" s="842"/>
      <c r="L117" s="817"/>
      <c r="M117" s="881"/>
      <c r="N117" s="925"/>
      <c r="O117" s="925"/>
      <c r="P117" s="528"/>
      <c r="Q117" s="528"/>
      <c r="R117" s="528"/>
      <c r="S117" s="528"/>
      <c r="T117" s="528"/>
      <c r="U117" s="528"/>
      <c r="V117" s="528"/>
      <c r="W117" s="529"/>
      <c r="X117" s="529"/>
      <c r="Y117" s="529"/>
      <c r="Z117" s="529"/>
      <c r="AA117" s="529"/>
    </row>
    <row r="118" spans="1:27" s="788" customFormat="1" x14ac:dyDescent="0.25">
      <c r="A118" s="825"/>
      <c r="B118" s="825"/>
      <c r="C118" s="825"/>
      <c r="D118" s="841"/>
      <c r="E118" s="841"/>
      <c r="F118" s="817"/>
      <c r="G118" s="842"/>
      <c r="H118" s="842"/>
      <c r="I118" s="817"/>
      <c r="J118" s="842"/>
      <c r="K118" s="842"/>
      <c r="L118" s="817"/>
      <c r="M118" s="881"/>
      <c r="N118" s="925"/>
      <c r="O118" s="925"/>
      <c r="P118" s="528"/>
      <c r="Q118" s="528"/>
      <c r="R118" s="528"/>
      <c r="S118" s="528"/>
      <c r="T118" s="528"/>
      <c r="U118" s="528"/>
      <c r="V118" s="528"/>
      <c r="W118" s="529"/>
      <c r="X118" s="529"/>
      <c r="Y118" s="529"/>
      <c r="Z118" s="529"/>
      <c r="AA118" s="529"/>
    </row>
    <row r="119" spans="1:27" s="788" customFormat="1" x14ac:dyDescent="0.25">
      <c r="A119" s="825"/>
      <c r="B119" s="825"/>
      <c r="C119" s="825"/>
      <c r="D119" s="841"/>
      <c r="E119" s="841"/>
      <c r="F119" s="817"/>
      <c r="G119" s="842"/>
      <c r="H119" s="842"/>
      <c r="I119" s="817"/>
      <c r="J119" s="842"/>
      <c r="K119" s="842"/>
      <c r="L119" s="817"/>
      <c r="M119" s="881"/>
      <c r="N119" s="925"/>
      <c r="O119" s="925"/>
      <c r="P119" s="528"/>
      <c r="Q119" s="528"/>
      <c r="R119" s="528"/>
      <c r="S119" s="528"/>
      <c r="T119" s="528"/>
      <c r="U119" s="528"/>
      <c r="V119" s="528"/>
      <c r="W119" s="529"/>
      <c r="X119" s="529"/>
      <c r="Y119" s="529"/>
      <c r="Z119" s="529"/>
      <c r="AA119" s="529"/>
    </row>
    <row r="120" spans="1:27" s="788" customFormat="1" x14ac:dyDescent="0.25">
      <c r="A120" s="825"/>
      <c r="B120" s="825"/>
      <c r="C120" s="825"/>
      <c r="D120" s="841"/>
      <c r="E120" s="841"/>
      <c r="F120" s="817"/>
      <c r="G120" s="842"/>
      <c r="H120" s="842"/>
      <c r="I120" s="817"/>
      <c r="J120" s="842"/>
      <c r="K120" s="842"/>
      <c r="L120" s="817"/>
      <c r="M120" s="881"/>
      <c r="N120" s="925"/>
      <c r="O120" s="925"/>
      <c r="P120" s="528"/>
      <c r="Q120" s="528"/>
      <c r="R120" s="528"/>
      <c r="S120" s="528"/>
      <c r="T120" s="528"/>
      <c r="U120" s="528"/>
      <c r="V120" s="528"/>
      <c r="W120" s="529"/>
      <c r="X120" s="529"/>
      <c r="Y120" s="529"/>
      <c r="Z120" s="529"/>
      <c r="AA120" s="529"/>
    </row>
    <row r="121" spans="1:27" s="788" customFormat="1" x14ac:dyDescent="0.25">
      <c r="A121" s="825"/>
      <c r="B121" s="825"/>
      <c r="C121" s="825"/>
      <c r="D121" s="841"/>
      <c r="E121" s="841"/>
      <c r="F121" s="817"/>
      <c r="G121" s="842"/>
      <c r="H121" s="842"/>
      <c r="I121" s="817"/>
      <c r="J121" s="842"/>
      <c r="K121" s="842"/>
      <c r="L121" s="817"/>
      <c r="M121" s="881"/>
      <c r="N121" s="925"/>
      <c r="O121" s="925"/>
      <c r="P121" s="528"/>
      <c r="Q121" s="528"/>
      <c r="R121" s="528"/>
      <c r="S121" s="528"/>
      <c r="T121" s="528"/>
      <c r="U121" s="528"/>
      <c r="V121" s="528"/>
      <c r="W121" s="529"/>
      <c r="X121" s="529"/>
      <c r="Y121" s="529"/>
      <c r="Z121" s="529"/>
      <c r="AA121" s="529"/>
    </row>
    <row r="122" spans="1:27" s="788" customFormat="1" x14ac:dyDescent="0.25">
      <c r="A122" s="825"/>
      <c r="B122" s="825"/>
      <c r="C122" s="825"/>
      <c r="D122" s="841"/>
      <c r="E122" s="841"/>
      <c r="F122" s="817"/>
      <c r="G122" s="842"/>
      <c r="H122" s="842"/>
      <c r="I122" s="817"/>
      <c r="J122" s="842"/>
      <c r="K122" s="842"/>
      <c r="L122" s="817"/>
      <c r="M122" s="881"/>
      <c r="N122" s="925"/>
      <c r="O122" s="925"/>
      <c r="P122" s="528"/>
      <c r="Q122" s="528"/>
      <c r="R122" s="528"/>
      <c r="S122" s="528"/>
      <c r="T122" s="528"/>
      <c r="U122" s="528"/>
      <c r="V122" s="528"/>
      <c r="W122" s="529"/>
      <c r="X122" s="529"/>
      <c r="Y122" s="529"/>
      <c r="Z122" s="529"/>
      <c r="AA122" s="529"/>
    </row>
    <row r="123" spans="1:27" s="788" customFormat="1" x14ac:dyDescent="0.25">
      <c r="A123" s="825"/>
      <c r="B123" s="825"/>
      <c r="C123" s="825"/>
      <c r="D123" s="841"/>
      <c r="E123" s="841"/>
      <c r="F123" s="817"/>
      <c r="G123" s="842"/>
      <c r="H123" s="842"/>
      <c r="I123" s="817"/>
      <c r="J123" s="842"/>
      <c r="K123" s="842"/>
      <c r="L123" s="817"/>
      <c r="M123" s="881"/>
      <c r="N123" s="925"/>
      <c r="O123" s="925"/>
      <c r="P123" s="528"/>
      <c r="Q123" s="528"/>
      <c r="R123" s="528"/>
      <c r="S123" s="528"/>
      <c r="T123" s="528"/>
      <c r="U123" s="528"/>
      <c r="V123" s="528"/>
      <c r="W123" s="529"/>
      <c r="X123" s="529"/>
      <c r="Y123" s="529"/>
      <c r="Z123" s="529"/>
      <c r="AA123" s="529"/>
    </row>
    <row r="124" spans="1:27" s="788" customFormat="1" x14ac:dyDescent="0.25">
      <c r="A124" s="825"/>
      <c r="B124" s="825"/>
      <c r="C124" s="825"/>
      <c r="D124" s="841"/>
      <c r="E124" s="841"/>
      <c r="F124" s="817"/>
      <c r="G124" s="842"/>
      <c r="H124" s="842"/>
      <c r="I124" s="817"/>
      <c r="J124" s="842"/>
      <c r="K124" s="842"/>
      <c r="L124" s="817"/>
      <c r="M124" s="881"/>
      <c r="N124" s="925"/>
      <c r="O124" s="925"/>
      <c r="P124" s="528"/>
      <c r="Q124" s="528"/>
      <c r="R124" s="528"/>
      <c r="S124" s="528"/>
      <c r="T124" s="528"/>
      <c r="U124" s="528"/>
      <c r="V124" s="528"/>
      <c r="W124" s="529"/>
      <c r="X124" s="529"/>
      <c r="Y124" s="529"/>
      <c r="Z124" s="529"/>
      <c r="AA124" s="529"/>
    </row>
    <row r="125" spans="1:27" s="788" customFormat="1" x14ac:dyDescent="0.25">
      <c r="A125" s="825"/>
      <c r="B125" s="825"/>
      <c r="C125" s="825"/>
      <c r="D125" s="841"/>
      <c r="E125" s="841"/>
      <c r="F125" s="817"/>
      <c r="G125" s="842"/>
      <c r="H125" s="842"/>
      <c r="I125" s="817"/>
      <c r="J125" s="842"/>
      <c r="K125" s="842"/>
      <c r="L125" s="817"/>
      <c r="M125" s="881"/>
      <c r="N125" s="925"/>
      <c r="O125" s="925"/>
      <c r="P125" s="528"/>
      <c r="Q125" s="528"/>
      <c r="R125" s="528"/>
      <c r="S125" s="528"/>
      <c r="T125" s="528"/>
      <c r="U125" s="528"/>
      <c r="V125" s="528"/>
      <c r="W125" s="529"/>
      <c r="X125" s="529"/>
      <c r="Y125" s="529"/>
      <c r="Z125" s="529"/>
      <c r="AA125" s="529"/>
    </row>
    <row r="126" spans="1:27" s="788" customFormat="1" x14ac:dyDescent="0.25">
      <c r="A126" s="825"/>
      <c r="B126" s="825"/>
      <c r="C126" s="825"/>
      <c r="D126" s="841"/>
      <c r="E126" s="841"/>
      <c r="F126" s="817"/>
      <c r="G126" s="842"/>
      <c r="H126" s="842"/>
      <c r="I126" s="817"/>
      <c r="J126" s="842"/>
      <c r="K126" s="842"/>
      <c r="L126" s="817"/>
      <c r="M126" s="881"/>
      <c r="N126" s="925"/>
      <c r="O126" s="925"/>
      <c r="P126" s="528"/>
      <c r="Q126" s="528"/>
      <c r="R126" s="528"/>
      <c r="S126" s="528"/>
      <c r="T126" s="528"/>
      <c r="U126" s="528"/>
      <c r="V126" s="528"/>
      <c r="W126" s="529"/>
      <c r="X126" s="529"/>
      <c r="Y126" s="529"/>
      <c r="Z126" s="529"/>
      <c r="AA126" s="529"/>
    </row>
    <row r="127" spans="1:27" s="788" customFormat="1" x14ac:dyDescent="0.25">
      <c r="A127" s="825"/>
      <c r="B127" s="825"/>
      <c r="C127" s="825"/>
      <c r="D127" s="841"/>
      <c r="E127" s="841"/>
      <c r="F127" s="817"/>
      <c r="G127" s="842"/>
      <c r="H127" s="842"/>
      <c r="I127" s="817"/>
      <c r="J127" s="842"/>
      <c r="K127" s="842"/>
      <c r="L127" s="817"/>
      <c r="M127" s="881"/>
      <c r="N127" s="925"/>
      <c r="O127" s="925"/>
      <c r="P127" s="528"/>
      <c r="Q127" s="528"/>
      <c r="R127" s="528"/>
      <c r="S127" s="528"/>
      <c r="T127" s="528"/>
      <c r="U127" s="528"/>
      <c r="V127" s="528"/>
      <c r="W127" s="529"/>
      <c r="X127" s="529"/>
      <c r="Y127" s="529"/>
      <c r="Z127" s="529"/>
      <c r="AA127" s="529"/>
    </row>
    <row r="128" spans="1:27" s="788" customFormat="1" x14ac:dyDescent="0.25">
      <c r="A128" s="825"/>
      <c r="B128" s="825"/>
      <c r="C128" s="825"/>
      <c r="D128" s="841"/>
      <c r="E128" s="841"/>
      <c r="F128" s="817"/>
      <c r="G128" s="842"/>
      <c r="H128" s="842"/>
      <c r="I128" s="817"/>
      <c r="J128" s="842"/>
      <c r="K128" s="842"/>
      <c r="L128" s="817"/>
      <c r="M128" s="881"/>
      <c r="N128" s="925"/>
      <c r="O128" s="925"/>
      <c r="P128" s="528"/>
      <c r="Q128" s="528"/>
      <c r="R128" s="528"/>
      <c r="S128" s="528"/>
      <c r="T128" s="528"/>
      <c r="U128" s="528"/>
      <c r="V128" s="528"/>
      <c r="W128" s="529"/>
      <c r="X128" s="529"/>
      <c r="Y128" s="529"/>
      <c r="Z128" s="529"/>
      <c r="AA128" s="529"/>
    </row>
    <row r="129" spans="1:27" s="788" customFormat="1" x14ac:dyDescent="0.25">
      <c r="A129" s="825"/>
      <c r="B129" s="825"/>
      <c r="C129" s="825"/>
      <c r="D129" s="841"/>
      <c r="E129" s="841"/>
      <c r="F129" s="817"/>
      <c r="G129" s="842"/>
      <c r="H129" s="842"/>
      <c r="I129" s="817"/>
      <c r="J129" s="842"/>
      <c r="K129" s="842"/>
      <c r="L129" s="817"/>
      <c r="M129" s="881"/>
      <c r="N129" s="925"/>
      <c r="O129" s="925"/>
      <c r="P129" s="528"/>
      <c r="Q129" s="528"/>
      <c r="R129" s="528"/>
      <c r="S129" s="528"/>
      <c r="T129" s="528"/>
      <c r="U129" s="528"/>
      <c r="V129" s="528"/>
      <c r="W129" s="529"/>
      <c r="X129" s="529"/>
      <c r="Y129" s="529"/>
      <c r="Z129" s="529"/>
      <c r="AA129" s="529"/>
    </row>
    <row r="130" spans="1:27" s="788" customFormat="1" x14ac:dyDescent="0.25">
      <c r="A130" s="825"/>
      <c r="B130" s="825"/>
      <c r="C130" s="825"/>
      <c r="D130" s="841"/>
      <c r="E130" s="841"/>
      <c r="F130" s="817"/>
      <c r="G130" s="842"/>
      <c r="H130" s="842"/>
      <c r="I130" s="817"/>
      <c r="J130" s="842"/>
      <c r="K130" s="842"/>
      <c r="L130" s="817"/>
      <c r="M130" s="881"/>
      <c r="N130" s="925"/>
      <c r="O130" s="925"/>
      <c r="P130" s="528"/>
      <c r="Q130" s="528"/>
      <c r="R130" s="528"/>
      <c r="S130" s="528"/>
      <c r="T130" s="528"/>
      <c r="U130" s="528"/>
      <c r="V130" s="528"/>
      <c r="W130" s="529"/>
      <c r="X130" s="529"/>
      <c r="Y130" s="529"/>
      <c r="Z130" s="529"/>
      <c r="AA130" s="529"/>
    </row>
    <row r="131" spans="1:27" s="788" customFormat="1" x14ac:dyDescent="0.25">
      <c r="A131" s="825"/>
      <c r="B131" s="825"/>
      <c r="C131" s="825"/>
      <c r="D131" s="841"/>
      <c r="E131" s="841"/>
      <c r="F131" s="817"/>
      <c r="G131" s="842"/>
      <c r="H131" s="842"/>
      <c r="I131" s="817"/>
      <c r="J131" s="842"/>
      <c r="K131" s="842"/>
      <c r="L131" s="817"/>
      <c r="M131" s="881"/>
      <c r="N131" s="925"/>
      <c r="O131" s="925"/>
      <c r="P131" s="528"/>
      <c r="Q131" s="528"/>
      <c r="R131" s="528"/>
      <c r="S131" s="528"/>
      <c r="T131" s="528"/>
      <c r="U131" s="528"/>
      <c r="V131" s="528"/>
      <c r="W131" s="529"/>
      <c r="X131" s="529"/>
      <c r="Y131" s="529"/>
      <c r="Z131" s="529"/>
      <c r="AA131" s="529"/>
    </row>
    <row r="132" spans="1:27" s="788" customFormat="1" x14ac:dyDescent="0.25">
      <c r="A132" s="825"/>
      <c r="B132" s="825"/>
      <c r="C132" s="825"/>
      <c r="D132" s="841"/>
      <c r="E132" s="841"/>
      <c r="F132" s="817"/>
      <c r="G132" s="842"/>
      <c r="H132" s="842"/>
      <c r="I132" s="817"/>
      <c r="J132" s="842"/>
      <c r="K132" s="842"/>
      <c r="L132" s="817"/>
      <c r="M132" s="881"/>
      <c r="N132" s="925"/>
      <c r="O132" s="925"/>
      <c r="P132" s="528"/>
      <c r="Q132" s="528"/>
      <c r="R132" s="528"/>
      <c r="S132" s="528"/>
      <c r="T132" s="528"/>
      <c r="U132" s="528"/>
      <c r="V132" s="528"/>
      <c r="W132" s="529"/>
      <c r="X132" s="529"/>
      <c r="Y132" s="529"/>
      <c r="Z132" s="529"/>
      <c r="AA132" s="529"/>
    </row>
    <row r="133" spans="1:27" s="788" customFormat="1" x14ac:dyDescent="0.25">
      <c r="A133" s="825"/>
      <c r="B133" s="825"/>
      <c r="C133" s="825"/>
      <c r="D133" s="841"/>
      <c r="E133" s="841"/>
      <c r="F133" s="817"/>
      <c r="G133" s="842"/>
      <c r="H133" s="842"/>
      <c r="I133" s="817"/>
      <c r="J133" s="842"/>
      <c r="K133" s="842"/>
      <c r="L133" s="817"/>
      <c r="M133" s="881"/>
      <c r="N133" s="925"/>
      <c r="O133" s="925"/>
      <c r="P133" s="528"/>
      <c r="Q133" s="528"/>
      <c r="R133" s="528"/>
      <c r="S133" s="528"/>
      <c r="T133" s="528"/>
      <c r="U133" s="528"/>
      <c r="V133" s="528"/>
      <c r="W133" s="529"/>
      <c r="X133" s="529"/>
      <c r="Y133" s="529"/>
      <c r="Z133" s="529"/>
      <c r="AA133" s="529"/>
    </row>
    <row r="134" spans="1:27" s="788" customFormat="1" x14ac:dyDescent="0.25">
      <c r="A134" s="825"/>
      <c r="B134" s="825"/>
      <c r="C134" s="825"/>
      <c r="D134" s="841"/>
      <c r="E134" s="841"/>
      <c r="F134" s="817"/>
      <c r="G134" s="842"/>
      <c r="H134" s="842"/>
      <c r="I134" s="817"/>
      <c r="J134" s="842"/>
      <c r="K134" s="842"/>
      <c r="L134" s="817"/>
      <c r="M134" s="881"/>
      <c r="N134" s="925"/>
      <c r="O134" s="925"/>
      <c r="P134" s="528"/>
      <c r="Q134" s="528"/>
      <c r="R134" s="528"/>
      <c r="S134" s="528"/>
      <c r="T134" s="528"/>
      <c r="U134" s="528"/>
      <c r="V134" s="528"/>
      <c r="W134" s="529"/>
      <c r="X134" s="529"/>
      <c r="Y134" s="529"/>
      <c r="Z134" s="529"/>
      <c r="AA134" s="529"/>
    </row>
    <row r="135" spans="1:27" s="788" customFormat="1" x14ac:dyDescent="0.25">
      <c r="A135" s="825"/>
      <c r="B135" s="825"/>
      <c r="C135" s="825"/>
      <c r="D135" s="841"/>
      <c r="E135" s="841"/>
      <c r="F135" s="817"/>
      <c r="G135" s="842"/>
      <c r="H135" s="842"/>
      <c r="I135" s="817"/>
      <c r="J135" s="842"/>
      <c r="K135" s="842"/>
      <c r="L135" s="817"/>
      <c r="M135" s="881"/>
      <c r="N135" s="925"/>
      <c r="O135" s="925"/>
      <c r="P135" s="528"/>
      <c r="Q135" s="528"/>
      <c r="R135" s="528"/>
      <c r="S135" s="528"/>
      <c r="T135" s="528"/>
      <c r="U135" s="528"/>
      <c r="V135" s="528"/>
      <c r="W135" s="529"/>
      <c r="X135" s="529"/>
      <c r="Y135" s="529"/>
      <c r="Z135" s="529"/>
      <c r="AA135" s="529"/>
    </row>
    <row r="136" spans="1:27" s="788" customFormat="1" x14ac:dyDescent="0.25">
      <c r="A136" s="825"/>
      <c r="B136" s="825"/>
      <c r="C136" s="825"/>
      <c r="D136" s="841"/>
      <c r="E136" s="841"/>
      <c r="F136" s="817"/>
      <c r="G136" s="842"/>
      <c r="H136" s="842"/>
      <c r="I136" s="817"/>
      <c r="J136" s="842"/>
      <c r="K136" s="842"/>
      <c r="L136" s="817"/>
      <c r="M136" s="881"/>
      <c r="N136" s="925"/>
      <c r="O136" s="925"/>
      <c r="P136" s="528"/>
      <c r="Q136" s="528"/>
      <c r="R136" s="528"/>
      <c r="S136" s="528"/>
      <c r="T136" s="528"/>
      <c r="U136" s="528"/>
      <c r="V136" s="528"/>
      <c r="W136" s="529"/>
      <c r="X136" s="529"/>
      <c r="Y136" s="529"/>
      <c r="Z136" s="529"/>
      <c r="AA136" s="529"/>
    </row>
    <row r="137" spans="1:27" s="788" customFormat="1" x14ac:dyDescent="0.25">
      <c r="A137" s="825"/>
      <c r="B137" s="825"/>
      <c r="C137" s="825"/>
      <c r="D137" s="841"/>
      <c r="E137" s="841"/>
      <c r="F137" s="817"/>
      <c r="G137" s="842"/>
      <c r="H137" s="842"/>
      <c r="I137" s="817"/>
      <c r="J137" s="842"/>
      <c r="K137" s="842"/>
      <c r="L137" s="817"/>
      <c r="M137" s="881"/>
      <c r="N137" s="925"/>
      <c r="O137" s="925"/>
      <c r="P137" s="528"/>
      <c r="Q137" s="528"/>
      <c r="R137" s="528"/>
      <c r="S137" s="528"/>
      <c r="T137" s="528"/>
      <c r="U137" s="528"/>
      <c r="V137" s="528"/>
      <c r="W137" s="529"/>
      <c r="X137" s="529"/>
      <c r="Y137" s="529"/>
      <c r="Z137" s="529"/>
      <c r="AA137" s="529"/>
    </row>
    <row r="138" spans="1:27" s="788" customFormat="1" x14ac:dyDescent="0.25">
      <c r="A138" s="825"/>
      <c r="B138" s="825"/>
      <c r="C138" s="825"/>
      <c r="D138" s="841"/>
      <c r="E138" s="841"/>
      <c r="F138" s="817"/>
      <c r="G138" s="842"/>
      <c r="H138" s="842"/>
      <c r="I138" s="817"/>
      <c r="J138" s="842"/>
      <c r="K138" s="842"/>
      <c r="L138" s="817"/>
      <c r="M138" s="881"/>
      <c r="N138" s="925"/>
      <c r="O138" s="925"/>
      <c r="P138" s="528"/>
      <c r="Q138" s="528"/>
      <c r="R138" s="528"/>
      <c r="S138" s="528"/>
      <c r="T138" s="528"/>
      <c r="U138" s="528"/>
      <c r="V138" s="528"/>
      <c r="W138" s="529"/>
      <c r="X138" s="529"/>
      <c r="Y138" s="529"/>
      <c r="Z138" s="529"/>
      <c r="AA138" s="529"/>
    </row>
    <row r="139" spans="1:27" s="788" customFormat="1" x14ac:dyDescent="0.25">
      <c r="A139" s="825"/>
      <c r="B139" s="825"/>
      <c r="C139" s="825"/>
      <c r="D139" s="841"/>
      <c r="E139" s="841"/>
      <c r="F139" s="817"/>
      <c r="G139" s="842"/>
      <c r="H139" s="842"/>
      <c r="I139" s="817"/>
      <c r="J139" s="842"/>
      <c r="K139" s="842"/>
      <c r="L139" s="817"/>
      <c r="M139" s="881"/>
      <c r="N139" s="925"/>
      <c r="O139" s="925"/>
      <c r="P139" s="528"/>
      <c r="Q139" s="528"/>
      <c r="R139" s="528"/>
      <c r="S139" s="528"/>
      <c r="T139" s="528"/>
      <c r="U139" s="528"/>
      <c r="V139" s="528"/>
      <c r="W139" s="529"/>
      <c r="X139" s="529"/>
      <c r="Y139" s="529"/>
      <c r="Z139" s="529"/>
      <c r="AA139" s="529"/>
    </row>
    <row r="140" spans="1:27" s="788" customFormat="1" x14ac:dyDescent="0.25">
      <c r="A140" s="825"/>
      <c r="B140" s="825"/>
      <c r="C140" s="825"/>
      <c r="D140" s="841"/>
      <c r="E140" s="841"/>
      <c r="F140" s="817"/>
      <c r="G140" s="842"/>
      <c r="H140" s="842"/>
      <c r="I140" s="817"/>
      <c r="J140" s="842"/>
      <c r="K140" s="842"/>
      <c r="L140" s="817"/>
      <c r="M140" s="881"/>
      <c r="N140" s="925"/>
      <c r="O140" s="925"/>
      <c r="P140" s="528"/>
      <c r="Q140" s="528"/>
      <c r="R140" s="528"/>
      <c r="S140" s="528"/>
      <c r="T140" s="528"/>
      <c r="U140" s="528"/>
      <c r="V140" s="528"/>
      <c r="W140" s="529"/>
      <c r="X140" s="529"/>
      <c r="Y140" s="529"/>
      <c r="Z140" s="529"/>
      <c r="AA140" s="529"/>
    </row>
    <row r="141" spans="1:27" s="788" customFormat="1" x14ac:dyDescent="0.25">
      <c r="A141" s="825"/>
      <c r="B141" s="825"/>
      <c r="C141" s="825"/>
      <c r="D141" s="841"/>
      <c r="E141" s="841"/>
      <c r="F141" s="817"/>
      <c r="G141" s="842"/>
      <c r="H141" s="842"/>
      <c r="I141" s="817"/>
      <c r="J141" s="842"/>
      <c r="K141" s="842"/>
      <c r="L141" s="817"/>
      <c r="M141" s="881"/>
      <c r="N141" s="925"/>
      <c r="O141" s="925"/>
      <c r="P141" s="528"/>
      <c r="Q141" s="528"/>
      <c r="R141" s="528"/>
      <c r="S141" s="528"/>
      <c r="T141" s="528"/>
      <c r="U141" s="528"/>
      <c r="V141" s="528"/>
      <c r="W141" s="529"/>
      <c r="X141" s="529"/>
      <c r="Y141" s="529"/>
      <c r="Z141" s="529"/>
      <c r="AA141" s="529"/>
    </row>
    <row r="142" spans="1:27" s="788" customFormat="1" x14ac:dyDescent="0.25">
      <c r="A142" s="825"/>
      <c r="B142" s="825"/>
      <c r="C142" s="825"/>
      <c r="D142" s="841"/>
      <c r="E142" s="841"/>
      <c r="F142" s="817"/>
      <c r="G142" s="842"/>
      <c r="H142" s="842"/>
      <c r="I142" s="817"/>
      <c r="J142" s="842"/>
      <c r="K142" s="842"/>
      <c r="L142" s="817"/>
      <c r="M142" s="881"/>
      <c r="N142" s="925"/>
      <c r="O142" s="925"/>
      <c r="P142" s="528"/>
      <c r="Q142" s="528"/>
      <c r="R142" s="528"/>
      <c r="S142" s="528"/>
      <c r="T142" s="528"/>
      <c r="U142" s="528"/>
      <c r="V142" s="528"/>
      <c r="W142" s="529"/>
      <c r="X142" s="529"/>
      <c r="Y142" s="529"/>
      <c r="Z142" s="529"/>
      <c r="AA142" s="529"/>
    </row>
    <row r="143" spans="1:27" s="788" customFormat="1" x14ac:dyDescent="0.25">
      <c r="A143" s="825"/>
      <c r="B143" s="825"/>
      <c r="C143" s="825"/>
      <c r="D143" s="841"/>
      <c r="E143" s="841"/>
      <c r="F143" s="817"/>
      <c r="G143" s="842"/>
      <c r="H143" s="842"/>
      <c r="I143" s="817"/>
      <c r="J143" s="842"/>
      <c r="K143" s="842"/>
      <c r="L143" s="817"/>
      <c r="M143" s="881"/>
      <c r="N143" s="925"/>
      <c r="O143" s="925"/>
      <c r="P143" s="528"/>
      <c r="Q143" s="528"/>
      <c r="R143" s="528"/>
      <c r="S143" s="528"/>
      <c r="T143" s="528"/>
      <c r="U143" s="528"/>
      <c r="V143" s="528"/>
      <c r="W143" s="529"/>
      <c r="X143" s="529"/>
      <c r="Y143" s="529"/>
      <c r="Z143" s="529"/>
      <c r="AA143" s="529"/>
    </row>
    <row r="144" spans="1:27" s="788" customFormat="1" x14ac:dyDescent="0.25">
      <c r="A144" s="825"/>
      <c r="B144" s="825"/>
      <c r="C144" s="825"/>
      <c r="D144" s="841"/>
      <c r="E144" s="841"/>
      <c r="F144" s="817"/>
      <c r="G144" s="842"/>
      <c r="H144" s="842"/>
      <c r="I144" s="817"/>
      <c r="J144" s="842"/>
      <c r="K144" s="842"/>
      <c r="L144" s="817"/>
      <c r="M144" s="881"/>
      <c r="N144" s="925"/>
      <c r="O144" s="925"/>
      <c r="P144" s="528"/>
      <c r="Q144" s="528"/>
      <c r="R144" s="528"/>
      <c r="S144" s="528"/>
      <c r="T144" s="528"/>
      <c r="U144" s="528"/>
      <c r="V144" s="528"/>
      <c r="W144" s="529"/>
      <c r="X144" s="529"/>
      <c r="Y144" s="529"/>
      <c r="Z144" s="529"/>
      <c r="AA144" s="529"/>
    </row>
    <row r="145" spans="1:27" s="788" customFormat="1" x14ac:dyDescent="0.25">
      <c r="A145" s="825"/>
      <c r="B145" s="825"/>
      <c r="C145" s="825"/>
      <c r="D145" s="841"/>
      <c r="E145" s="841"/>
      <c r="F145" s="817"/>
      <c r="G145" s="842"/>
      <c r="H145" s="842"/>
      <c r="I145" s="817"/>
      <c r="J145" s="842"/>
      <c r="K145" s="842"/>
      <c r="L145" s="817"/>
      <c r="M145" s="881"/>
      <c r="N145" s="925"/>
      <c r="O145" s="925"/>
      <c r="P145" s="528"/>
      <c r="Q145" s="528"/>
      <c r="R145" s="528"/>
      <c r="S145" s="528"/>
      <c r="T145" s="528"/>
      <c r="U145" s="528"/>
      <c r="V145" s="528"/>
      <c r="W145" s="529"/>
      <c r="X145" s="529"/>
      <c r="Y145" s="529"/>
      <c r="Z145" s="529"/>
      <c r="AA145" s="529"/>
    </row>
    <row r="146" spans="1:27" s="788" customFormat="1" x14ac:dyDescent="0.25">
      <c r="A146" s="825"/>
      <c r="B146" s="825"/>
      <c r="C146" s="825"/>
      <c r="D146" s="841"/>
      <c r="E146" s="841"/>
      <c r="F146" s="817"/>
      <c r="G146" s="842"/>
      <c r="H146" s="842"/>
      <c r="I146" s="817"/>
      <c r="J146" s="842"/>
      <c r="K146" s="842"/>
      <c r="L146" s="817"/>
      <c r="M146" s="881"/>
      <c r="N146" s="925"/>
      <c r="O146" s="925"/>
      <c r="P146" s="528"/>
      <c r="Q146" s="528"/>
      <c r="R146" s="528"/>
      <c r="S146" s="528"/>
      <c r="T146" s="528"/>
      <c r="U146" s="528"/>
      <c r="V146" s="528"/>
      <c r="W146" s="529"/>
      <c r="X146" s="529"/>
      <c r="Y146" s="529"/>
      <c r="Z146" s="529"/>
      <c r="AA146" s="529"/>
    </row>
    <row r="147" spans="1:27" s="788" customFormat="1" x14ac:dyDescent="0.25">
      <c r="A147" s="825"/>
      <c r="B147" s="825"/>
      <c r="C147" s="825"/>
      <c r="D147" s="841"/>
      <c r="E147" s="841"/>
      <c r="F147" s="817"/>
      <c r="G147" s="842"/>
      <c r="H147" s="842"/>
      <c r="I147" s="817"/>
      <c r="J147" s="842"/>
      <c r="K147" s="842"/>
      <c r="L147" s="817"/>
      <c r="M147" s="881"/>
      <c r="N147" s="925"/>
      <c r="O147" s="925"/>
      <c r="P147" s="528"/>
      <c r="Q147" s="528"/>
      <c r="R147" s="528"/>
      <c r="S147" s="528"/>
      <c r="T147" s="528"/>
      <c r="U147" s="528"/>
      <c r="V147" s="528"/>
      <c r="W147" s="529"/>
      <c r="X147" s="529"/>
      <c r="Y147" s="529"/>
      <c r="Z147" s="529"/>
      <c r="AA147" s="529"/>
    </row>
    <row r="148" spans="1:27" s="788" customFormat="1" x14ac:dyDescent="0.25">
      <c r="A148" s="825"/>
      <c r="B148" s="825"/>
      <c r="C148" s="825"/>
      <c r="D148" s="841"/>
      <c r="E148" s="841"/>
      <c r="F148" s="817"/>
      <c r="G148" s="842"/>
      <c r="H148" s="842"/>
      <c r="I148" s="817"/>
      <c r="J148" s="842"/>
      <c r="K148" s="842"/>
      <c r="L148" s="817"/>
      <c r="M148" s="881"/>
      <c r="N148" s="925"/>
      <c r="O148" s="925"/>
      <c r="P148" s="528"/>
      <c r="Q148" s="528"/>
      <c r="R148" s="528"/>
      <c r="S148" s="528"/>
      <c r="T148" s="528"/>
      <c r="U148" s="528"/>
      <c r="V148" s="528"/>
      <c r="W148" s="529"/>
      <c r="X148" s="529"/>
      <c r="Y148" s="529"/>
      <c r="Z148" s="529"/>
      <c r="AA148" s="529"/>
    </row>
    <row r="149" spans="1:27" s="788" customFormat="1" x14ac:dyDescent="0.25">
      <c r="A149" s="825"/>
      <c r="B149" s="825"/>
      <c r="C149" s="825"/>
      <c r="D149" s="841"/>
      <c r="E149" s="841"/>
      <c r="F149" s="817"/>
      <c r="G149" s="842"/>
      <c r="H149" s="842"/>
      <c r="I149" s="817"/>
      <c r="J149" s="842"/>
      <c r="K149" s="842"/>
      <c r="L149" s="817"/>
      <c r="M149" s="881"/>
      <c r="N149" s="925"/>
      <c r="O149" s="925"/>
      <c r="P149" s="528"/>
      <c r="Q149" s="528"/>
      <c r="R149" s="528"/>
      <c r="S149" s="528"/>
      <c r="T149" s="528"/>
      <c r="U149" s="528"/>
      <c r="V149" s="528"/>
      <c r="W149" s="529"/>
      <c r="X149" s="529"/>
      <c r="Y149" s="529"/>
      <c r="Z149" s="529"/>
      <c r="AA149" s="529"/>
    </row>
    <row r="150" spans="1:27" s="788" customFormat="1" x14ac:dyDescent="0.25">
      <c r="A150" s="825"/>
      <c r="B150" s="825"/>
      <c r="C150" s="825"/>
      <c r="D150" s="841"/>
      <c r="E150" s="841"/>
      <c r="F150" s="817"/>
      <c r="G150" s="842"/>
      <c r="H150" s="842"/>
      <c r="I150" s="817"/>
      <c r="J150" s="842"/>
      <c r="K150" s="842"/>
      <c r="L150" s="817"/>
      <c r="M150" s="881"/>
      <c r="N150" s="925"/>
      <c r="O150" s="925"/>
      <c r="P150" s="528"/>
      <c r="Q150" s="528"/>
      <c r="R150" s="528"/>
      <c r="S150" s="528"/>
      <c r="T150" s="528"/>
      <c r="U150" s="528"/>
      <c r="V150" s="528"/>
      <c r="W150" s="529"/>
      <c r="X150" s="529"/>
      <c r="Y150" s="529"/>
      <c r="Z150" s="529"/>
      <c r="AA150" s="529"/>
    </row>
    <row r="151" spans="1:27" s="788" customFormat="1" x14ac:dyDescent="0.25">
      <c r="A151" s="825"/>
      <c r="B151" s="825"/>
      <c r="C151" s="825"/>
      <c r="D151" s="841"/>
      <c r="E151" s="841"/>
      <c r="F151" s="817"/>
      <c r="G151" s="842"/>
      <c r="H151" s="842"/>
      <c r="I151" s="817"/>
      <c r="J151" s="842"/>
      <c r="K151" s="842"/>
      <c r="L151" s="817"/>
      <c r="M151" s="881"/>
      <c r="N151" s="925"/>
      <c r="O151" s="925"/>
      <c r="P151" s="528"/>
      <c r="Q151" s="528"/>
      <c r="R151" s="528"/>
      <c r="S151" s="528"/>
      <c r="T151" s="528"/>
      <c r="U151" s="528"/>
      <c r="V151" s="528"/>
      <c r="W151" s="529"/>
      <c r="X151" s="529"/>
      <c r="Y151" s="529"/>
      <c r="Z151" s="529"/>
      <c r="AA151" s="529"/>
    </row>
    <row r="152" spans="1:27" s="788" customFormat="1" x14ac:dyDescent="0.25">
      <c r="A152" s="825"/>
      <c r="B152" s="825"/>
      <c r="C152" s="825"/>
      <c r="D152" s="841"/>
      <c r="E152" s="841"/>
      <c r="F152" s="817"/>
      <c r="G152" s="842"/>
      <c r="H152" s="842"/>
      <c r="I152" s="817"/>
      <c r="J152" s="842"/>
      <c r="K152" s="842"/>
      <c r="L152" s="817"/>
      <c r="M152" s="881"/>
      <c r="N152" s="925"/>
      <c r="O152" s="925"/>
      <c r="P152" s="528"/>
      <c r="Q152" s="528"/>
      <c r="R152" s="528"/>
      <c r="S152" s="528"/>
      <c r="T152" s="528"/>
      <c r="U152" s="528"/>
      <c r="V152" s="528"/>
      <c r="W152" s="529"/>
      <c r="X152" s="529"/>
      <c r="Y152" s="529"/>
      <c r="Z152" s="529"/>
      <c r="AA152" s="529"/>
    </row>
    <row r="153" spans="1:27" s="788" customFormat="1" x14ac:dyDescent="0.25">
      <c r="A153" s="825"/>
      <c r="B153" s="825"/>
      <c r="C153" s="825"/>
      <c r="D153" s="841"/>
      <c r="E153" s="841"/>
      <c r="F153" s="817"/>
      <c r="G153" s="842"/>
      <c r="H153" s="842"/>
      <c r="I153" s="817"/>
      <c r="J153" s="842"/>
      <c r="K153" s="842"/>
      <c r="L153" s="817"/>
      <c r="M153" s="881"/>
      <c r="N153" s="925"/>
      <c r="O153" s="925"/>
      <c r="P153" s="528"/>
      <c r="Q153" s="528"/>
      <c r="R153" s="528"/>
      <c r="S153" s="528"/>
      <c r="T153" s="528"/>
      <c r="U153" s="528"/>
      <c r="V153" s="528"/>
      <c r="W153" s="529"/>
      <c r="X153" s="529"/>
      <c r="Y153" s="529"/>
      <c r="Z153" s="529"/>
      <c r="AA153" s="529"/>
    </row>
    <row r="154" spans="1:27" s="788" customFormat="1" x14ac:dyDescent="0.25">
      <c r="A154" s="825"/>
      <c r="B154" s="825"/>
      <c r="C154" s="825"/>
      <c r="D154" s="841"/>
      <c r="E154" s="841"/>
      <c r="F154" s="817"/>
      <c r="G154" s="842"/>
      <c r="H154" s="842"/>
      <c r="I154" s="817"/>
      <c r="J154" s="842"/>
      <c r="K154" s="842"/>
      <c r="L154" s="817"/>
      <c r="M154" s="881"/>
      <c r="N154" s="925"/>
      <c r="O154" s="925"/>
      <c r="P154" s="528"/>
      <c r="Q154" s="528"/>
      <c r="R154" s="528"/>
      <c r="S154" s="528"/>
      <c r="T154" s="528"/>
      <c r="U154" s="528"/>
      <c r="V154" s="528"/>
      <c r="W154" s="529"/>
      <c r="X154" s="529"/>
      <c r="Y154" s="529"/>
      <c r="Z154" s="529"/>
      <c r="AA154" s="529"/>
    </row>
    <row r="155" spans="1:27" s="788" customFormat="1" x14ac:dyDescent="0.25">
      <c r="A155" s="825"/>
      <c r="B155" s="825"/>
      <c r="C155" s="825"/>
      <c r="D155" s="841"/>
      <c r="E155" s="841"/>
      <c r="F155" s="817"/>
      <c r="G155" s="842"/>
      <c r="H155" s="842"/>
      <c r="I155" s="817"/>
      <c r="J155" s="842"/>
      <c r="K155" s="842"/>
      <c r="L155" s="817"/>
      <c r="M155" s="881"/>
      <c r="N155" s="925"/>
      <c r="O155" s="925"/>
      <c r="P155" s="528"/>
      <c r="Q155" s="528"/>
      <c r="R155" s="528"/>
      <c r="S155" s="528"/>
      <c r="T155" s="528"/>
      <c r="U155" s="528"/>
      <c r="V155" s="528"/>
      <c r="W155" s="529"/>
      <c r="X155" s="529"/>
      <c r="Y155" s="529"/>
      <c r="Z155" s="529"/>
      <c r="AA155" s="529"/>
    </row>
    <row r="156" spans="1:27" s="788" customFormat="1" x14ac:dyDescent="0.25">
      <c r="A156" s="825"/>
      <c r="B156" s="825"/>
      <c r="C156" s="825"/>
      <c r="D156" s="841"/>
      <c r="E156" s="841"/>
      <c r="F156" s="817"/>
      <c r="G156" s="842"/>
      <c r="H156" s="842"/>
      <c r="I156" s="817"/>
      <c r="J156" s="842"/>
      <c r="K156" s="842"/>
      <c r="L156" s="817"/>
      <c r="M156" s="881"/>
      <c r="N156" s="925"/>
      <c r="O156" s="925"/>
      <c r="P156" s="528"/>
      <c r="Q156" s="528"/>
      <c r="R156" s="528"/>
      <c r="S156" s="528"/>
      <c r="T156" s="528"/>
      <c r="U156" s="528"/>
      <c r="V156" s="528"/>
      <c r="W156" s="529"/>
      <c r="X156" s="529"/>
      <c r="Y156" s="529"/>
      <c r="Z156" s="529"/>
      <c r="AA156" s="529"/>
    </row>
    <row r="157" spans="1:27" s="788" customFormat="1" x14ac:dyDescent="0.25">
      <c r="A157" s="825"/>
      <c r="B157" s="825"/>
      <c r="C157" s="825"/>
      <c r="D157" s="841"/>
      <c r="E157" s="841"/>
      <c r="F157" s="817"/>
      <c r="G157" s="842"/>
      <c r="H157" s="842"/>
      <c r="I157" s="817"/>
      <c r="J157" s="842"/>
      <c r="K157" s="842"/>
      <c r="L157" s="817"/>
      <c r="M157" s="881"/>
      <c r="N157" s="925"/>
      <c r="O157" s="925"/>
      <c r="P157" s="528"/>
      <c r="Q157" s="528"/>
      <c r="R157" s="528"/>
      <c r="S157" s="528"/>
      <c r="T157" s="528"/>
      <c r="U157" s="528"/>
      <c r="V157" s="528"/>
      <c r="W157" s="529"/>
      <c r="X157" s="529"/>
      <c r="Y157" s="529"/>
      <c r="Z157" s="529"/>
      <c r="AA157" s="529"/>
    </row>
    <row r="158" spans="1:27" s="788" customFormat="1" x14ac:dyDescent="0.25">
      <c r="A158" s="825"/>
      <c r="B158" s="825"/>
      <c r="C158" s="825"/>
      <c r="D158" s="841"/>
      <c r="E158" s="841"/>
      <c r="F158" s="817"/>
      <c r="G158" s="842"/>
      <c r="H158" s="842"/>
      <c r="I158" s="817"/>
      <c r="J158" s="842"/>
      <c r="K158" s="842"/>
      <c r="L158" s="817"/>
      <c r="M158" s="881"/>
      <c r="N158" s="925"/>
      <c r="O158" s="925"/>
      <c r="P158" s="528"/>
      <c r="Q158" s="528"/>
      <c r="R158" s="528"/>
      <c r="S158" s="528"/>
      <c r="T158" s="528"/>
      <c r="U158" s="528"/>
      <c r="V158" s="528"/>
      <c r="W158" s="529"/>
      <c r="X158" s="529"/>
      <c r="Y158" s="529"/>
      <c r="Z158" s="529"/>
      <c r="AA158" s="529"/>
    </row>
    <row r="159" spans="1:27" s="788" customFormat="1" x14ac:dyDescent="0.25">
      <c r="A159" s="825"/>
      <c r="B159" s="825"/>
      <c r="C159" s="825"/>
      <c r="D159" s="841"/>
      <c r="E159" s="841"/>
      <c r="F159" s="817"/>
      <c r="G159" s="842"/>
      <c r="H159" s="842"/>
      <c r="I159" s="817"/>
      <c r="J159" s="842"/>
      <c r="K159" s="842"/>
      <c r="L159" s="817"/>
      <c r="M159" s="881"/>
      <c r="N159" s="925"/>
      <c r="O159" s="925"/>
      <c r="P159" s="528"/>
      <c r="Q159" s="528"/>
      <c r="R159" s="528"/>
      <c r="S159" s="528"/>
      <c r="T159" s="528"/>
      <c r="U159" s="528"/>
      <c r="V159" s="528"/>
      <c r="W159" s="529"/>
      <c r="X159" s="529"/>
      <c r="Y159" s="529"/>
      <c r="Z159" s="529"/>
      <c r="AA159" s="529"/>
    </row>
    <row r="160" spans="1:27" s="788" customFormat="1" x14ac:dyDescent="0.25">
      <c r="A160" s="825"/>
      <c r="B160" s="825"/>
      <c r="C160" s="825"/>
      <c r="D160" s="841"/>
      <c r="E160" s="841"/>
      <c r="F160" s="817"/>
      <c r="G160" s="842"/>
      <c r="H160" s="842"/>
      <c r="I160" s="817"/>
      <c r="J160" s="842"/>
      <c r="K160" s="842"/>
      <c r="L160" s="817"/>
      <c r="M160" s="881"/>
      <c r="N160" s="925"/>
      <c r="O160" s="925"/>
      <c r="P160" s="528"/>
      <c r="Q160" s="528"/>
      <c r="R160" s="528"/>
      <c r="S160" s="528"/>
      <c r="T160" s="528"/>
      <c r="U160" s="528"/>
      <c r="V160" s="528"/>
      <c r="W160" s="529"/>
      <c r="X160" s="529"/>
      <c r="Y160" s="529"/>
      <c r="Z160" s="529"/>
      <c r="AA160" s="529"/>
    </row>
    <row r="161" spans="1:27" s="788" customFormat="1" x14ac:dyDescent="0.25">
      <c r="A161" s="825"/>
      <c r="B161" s="825"/>
      <c r="C161" s="825"/>
      <c r="D161" s="841"/>
      <c r="E161" s="841"/>
      <c r="F161" s="817"/>
      <c r="G161" s="842"/>
      <c r="H161" s="842"/>
      <c r="I161" s="817"/>
      <c r="J161" s="842"/>
      <c r="K161" s="842"/>
      <c r="L161" s="817"/>
      <c r="M161" s="881"/>
      <c r="N161" s="925"/>
      <c r="O161" s="925"/>
      <c r="P161" s="528"/>
      <c r="Q161" s="528"/>
      <c r="R161" s="528"/>
      <c r="S161" s="528"/>
      <c r="T161" s="528"/>
      <c r="U161" s="528"/>
      <c r="V161" s="528"/>
      <c r="W161" s="529"/>
      <c r="X161" s="529"/>
      <c r="Y161" s="529"/>
      <c r="Z161" s="529"/>
      <c r="AA161" s="529"/>
    </row>
    <row r="162" spans="1:27" s="788" customFormat="1" x14ac:dyDescent="0.25">
      <c r="A162" s="825"/>
      <c r="B162" s="825"/>
      <c r="C162" s="825"/>
      <c r="D162" s="841"/>
      <c r="E162" s="841"/>
      <c r="F162" s="817"/>
      <c r="G162" s="842"/>
      <c r="H162" s="842"/>
      <c r="I162" s="817"/>
      <c r="J162" s="842"/>
      <c r="K162" s="842"/>
      <c r="L162" s="817"/>
      <c r="M162" s="881"/>
      <c r="N162" s="925"/>
      <c r="O162" s="925"/>
      <c r="P162" s="528"/>
      <c r="Q162" s="528"/>
      <c r="R162" s="528"/>
      <c r="S162" s="528"/>
      <c r="T162" s="528"/>
      <c r="U162" s="528"/>
      <c r="V162" s="528"/>
      <c r="W162" s="529"/>
      <c r="X162" s="529"/>
      <c r="Y162" s="529"/>
      <c r="Z162" s="529"/>
      <c r="AA162" s="529"/>
    </row>
    <row r="163" spans="1:27" s="788" customFormat="1" x14ac:dyDescent="0.25">
      <c r="A163" s="825"/>
      <c r="B163" s="825"/>
      <c r="C163" s="825"/>
      <c r="D163" s="841"/>
      <c r="E163" s="841"/>
      <c r="F163" s="817"/>
      <c r="G163" s="842"/>
      <c r="H163" s="842"/>
      <c r="I163" s="817"/>
      <c r="J163" s="842"/>
      <c r="K163" s="842"/>
      <c r="L163" s="817"/>
      <c r="M163" s="881"/>
      <c r="N163" s="925"/>
      <c r="O163" s="925"/>
      <c r="P163" s="528"/>
      <c r="Q163" s="528"/>
      <c r="R163" s="528"/>
      <c r="S163" s="528"/>
      <c r="T163" s="528"/>
      <c r="U163" s="528"/>
      <c r="V163" s="528"/>
      <c r="W163" s="529"/>
      <c r="X163" s="529"/>
      <c r="Y163" s="529"/>
      <c r="Z163" s="529"/>
      <c r="AA163" s="529"/>
    </row>
    <row r="164" spans="1:27" s="788" customFormat="1" x14ac:dyDescent="0.25">
      <c r="A164" s="825"/>
      <c r="B164" s="825"/>
      <c r="C164" s="825"/>
      <c r="D164" s="841"/>
      <c r="E164" s="841"/>
      <c r="F164" s="817"/>
      <c r="G164" s="842"/>
      <c r="H164" s="842"/>
      <c r="I164" s="817"/>
      <c r="J164" s="842"/>
      <c r="K164" s="842"/>
      <c r="L164" s="817"/>
      <c r="M164" s="881"/>
      <c r="N164" s="925"/>
      <c r="O164" s="925"/>
      <c r="P164" s="528"/>
      <c r="Q164" s="528"/>
      <c r="R164" s="528"/>
      <c r="S164" s="528"/>
      <c r="T164" s="528"/>
      <c r="U164" s="528"/>
      <c r="V164" s="528"/>
      <c r="W164" s="529"/>
      <c r="X164" s="529"/>
      <c r="Y164" s="529"/>
      <c r="Z164" s="529"/>
      <c r="AA164" s="529"/>
    </row>
    <row r="165" spans="1:27" s="788" customFormat="1" x14ac:dyDescent="0.25">
      <c r="A165" s="825"/>
      <c r="B165" s="825"/>
      <c r="C165" s="825"/>
      <c r="D165" s="841"/>
      <c r="E165" s="841"/>
      <c r="F165" s="817"/>
      <c r="G165" s="842"/>
      <c r="H165" s="842"/>
      <c r="I165" s="817"/>
      <c r="J165" s="842"/>
      <c r="K165" s="842"/>
      <c r="L165" s="817"/>
      <c r="M165" s="881"/>
      <c r="N165" s="925"/>
      <c r="O165" s="925"/>
      <c r="P165" s="528"/>
      <c r="Q165" s="528"/>
      <c r="R165" s="528"/>
      <c r="S165" s="528"/>
      <c r="T165" s="528"/>
      <c r="U165" s="528"/>
      <c r="V165" s="528"/>
      <c r="W165" s="529"/>
      <c r="X165" s="529"/>
      <c r="Y165" s="529"/>
      <c r="Z165" s="529"/>
      <c r="AA165" s="529"/>
    </row>
    <row r="166" spans="1:27" s="788" customFormat="1" x14ac:dyDescent="0.25">
      <c r="A166" s="825"/>
      <c r="B166" s="825"/>
      <c r="C166" s="825"/>
      <c r="D166" s="841"/>
      <c r="E166" s="841"/>
      <c r="F166" s="817"/>
      <c r="G166" s="842"/>
      <c r="H166" s="842"/>
      <c r="I166" s="817"/>
      <c r="J166" s="842"/>
      <c r="K166" s="842"/>
      <c r="L166" s="817"/>
      <c r="M166" s="881"/>
      <c r="N166" s="925"/>
      <c r="O166" s="925"/>
      <c r="P166" s="528"/>
      <c r="Q166" s="528"/>
      <c r="R166" s="528"/>
      <c r="S166" s="528"/>
      <c r="T166" s="528"/>
      <c r="U166" s="528"/>
      <c r="V166" s="528"/>
      <c r="W166" s="529"/>
      <c r="X166" s="529"/>
      <c r="Y166" s="529"/>
      <c r="Z166" s="529"/>
      <c r="AA166" s="529"/>
    </row>
    <row r="167" spans="1:27" s="788" customFormat="1" x14ac:dyDescent="0.25">
      <c r="A167" s="825"/>
      <c r="B167" s="825"/>
      <c r="C167" s="825"/>
      <c r="D167" s="841"/>
      <c r="E167" s="841"/>
      <c r="F167" s="817"/>
      <c r="G167" s="842"/>
      <c r="H167" s="842"/>
      <c r="I167" s="817"/>
      <c r="J167" s="842"/>
      <c r="K167" s="842"/>
      <c r="L167" s="817"/>
      <c r="M167" s="881"/>
      <c r="N167" s="925"/>
      <c r="O167" s="925"/>
      <c r="P167" s="528"/>
      <c r="Q167" s="528"/>
      <c r="R167" s="528"/>
      <c r="S167" s="528"/>
      <c r="T167" s="528"/>
      <c r="U167" s="528"/>
      <c r="V167" s="528"/>
      <c r="W167" s="529"/>
      <c r="X167" s="529"/>
      <c r="Y167" s="529"/>
      <c r="Z167" s="529"/>
      <c r="AA167" s="529"/>
    </row>
    <row r="168" spans="1:27" s="788" customFormat="1" x14ac:dyDescent="0.25">
      <c r="A168" s="825"/>
      <c r="B168" s="825"/>
      <c r="C168" s="825"/>
      <c r="D168" s="841"/>
      <c r="E168" s="841"/>
      <c r="F168" s="817"/>
      <c r="G168" s="842"/>
      <c r="H168" s="842"/>
      <c r="I168" s="817"/>
      <c r="J168" s="842"/>
      <c r="K168" s="842"/>
      <c r="L168" s="817"/>
      <c r="M168" s="881"/>
      <c r="N168" s="925"/>
      <c r="O168" s="925"/>
      <c r="P168" s="528"/>
      <c r="Q168" s="528"/>
      <c r="R168" s="528"/>
      <c r="S168" s="528"/>
      <c r="T168" s="528"/>
      <c r="U168" s="528"/>
      <c r="V168" s="528"/>
      <c r="W168" s="529"/>
      <c r="X168" s="529"/>
      <c r="Y168" s="529"/>
      <c r="Z168" s="529"/>
      <c r="AA168" s="529"/>
    </row>
    <row r="169" spans="1:27" s="788" customFormat="1" x14ac:dyDescent="0.25">
      <c r="A169" s="825"/>
      <c r="B169" s="825"/>
      <c r="C169" s="825"/>
      <c r="D169" s="841"/>
      <c r="E169" s="841"/>
      <c r="F169" s="817"/>
      <c r="G169" s="842"/>
      <c r="H169" s="842"/>
      <c r="I169" s="817"/>
      <c r="J169" s="842"/>
      <c r="K169" s="842"/>
      <c r="L169" s="817"/>
      <c r="M169" s="881"/>
      <c r="N169" s="925"/>
      <c r="O169" s="925"/>
      <c r="P169" s="528"/>
      <c r="Q169" s="528"/>
      <c r="R169" s="528"/>
      <c r="S169" s="528"/>
      <c r="T169" s="528"/>
      <c r="U169" s="528"/>
      <c r="V169" s="528"/>
      <c r="W169" s="529"/>
      <c r="X169" s="529"/>
      <c r="Y169" s="529"/>
      <c r="Z169" s="529"/>
      <c r="AA169" s="529"/>
    </row>
    <row r="170" spans="1:27" s="788" customFormat="1" x14ac:dyDescent="0.25">
      <c r="A170" s="825"/>
      <c r="B170" s="825"/>
      <c r="C170" s="825"/>
      <c r="D170" s="841"/>
      <c r="E170" s="841"/>
      <c r="F170" s="817"/>
      <c r="G170" s="842"/>
      <c r="H170" s="842"/>
      <c r="I170" s="817"/>
      <c r="J170" s="842"/>
      <c r="K170" s="842"/>
      <c r="L170" s="817"/>
      <c r="M170" s="881"/>
      <c r="N170" s="925"/>
      <c r="O170" s="925"/>
      <c r="P170" s="528"/>
      <c r="Q170" s="528"/>
      <c r="R170" s="528"/>
      <c r="S170" s="528"/>
      <c r="T170" s="528"/>
      <c r="U170" s="528"/>
      <c r="V170" s="528"/>
      <c r="W170" s="529"/>
      <c r="X170" s="529"/>
      <c r="Y170" s="529"/>
      <c r="Z170" s="529"/>
      <c r="AA170" s="529"/>
    </row>
    <row r="171" spans="1:27" s="788" customFormat="1" x14ac:dyDescent="0.25">
      <c r="A171" s="825"/>
      <c r="B171" s="825"/>
      <c r="C171" s="825"/>
      <c r="D171" s="841"/>
      <c r="E171" s="841"/>
      <c r="F171" s="817"/>
      <c r="G171" s="842"/>
      <c r="H171" s="842"/>
      <c r="I171" s="817"/>
      <c r="J171" s="842"/>
      <c r="K171" s="842"/>
      <c r="L171" s="817"/>
      <c r="M171" s="881"/>
      <c r="N171" s="925"/>
      <c r="O171" s="925"/>
      <c r="P171" s="528"/>
      <c r="Q171" s="528"/>
      <c r="R171" s="528"/>
      <c r="S171" s="528"/>
      <c r="T171" s="528"/>
      <c r="U171" s="528"/>
      <c r="V171" s="528"/>
      <c r="W171" s="529"/>
      <c r="X171" s="529"/>
      <c r="Y171" s="529"/>
      <c r="Z171" s="529"/>
      <c r="AA171" s="529"/>
    </row>
    <row r="172" spans="1:27" s="788" customFormat="1" x14ac:dyDescent="0.25">
      <c r="A172" s="825"/>
      <c r="B172" s="825"/>
      <c r="C172" s="825"/>
      <c r="D172" s="841"/>
      <c r="E172" s="841"/>
      <c r="F172" s="817"/>
      <c r="G172" s="842"/>
      <c r="H172" s="842"/>
      <c r="I172" s="817"/>
      <c r="J172" s="842"/>
      <c r="K172" s="842"/>
      <c r="L172" s="817"/>
      <c r="M172" s="881"/>
      <c r="N172" s="925"/>
      <c r="O172" s="925"/>
      <c r="P172" s="528"/>
      <c r="Q172" s="528"/>
      <c r="R172" s="528"/>
      <c r="S172" s="528"/>
      <c r="T172" s="528"/>
      <c r="U172" s="528"/>
      <c r="V172" s="528"/>
      <c r="W172" s="529"/>
      <c r="X172" s="529"/>
      <c r="Y172" s="529"/>
      <c r="Z172" s="529"/>
      <c r="AA172" s="529"/>
    </row>
    <row r="173" spans="1:27" s="788" customFormat="1" x14ac:dyDescent="0.25">
      <c r="A173" s="825"/>
      <c r="B173" s="825"/>
      <c r="C173" s="825"/>
      <c r="D173" s="841"/>
      <c r="E173" s="841"/>
      <c r="F173" s="817"/>
      <c r="G173" s="842"/>
      <c r="H173" s="842"/>
      <c r="I173" s="817"/>
      <c r="J173" s="842"/>
      <c r="K173" s="842"/>
      <c r="L173" s="817"/>
      <c r="M173" s="881"/>
      <c r="N173" s="925"/>
      <c r="O173" s="925"/>
      <c r="P173" s="528"/>
      <c r="Q173" s="528"/>
      <c r="R173" s="528"/>
      <c r="S173" s="528"/>
      <c r="T173" s="528"/>
      <c r="U173" s="528"/>
      <c r="V173" s="528"/>
      <c r="W173" s="529"/>
      <c r="X173" s="529"/>
      <c r="Y173" s="529"/>
      <c r="Z173" s="529"/>
      <c r="AA173" s="529"/>
    </row>
    <row r="174" spans="1:27" s="788" customFormat="1" x14ac:dyDescent="0.25">
      <c r="A174" s="825"/>
      <c r="B174" s="825"/>
      <c r="C174" s="825"/>
      <c r="D174" s="841"/>
      <c r="E174" s="841"/>
      <c r="F174" s="817"/>
      <c r="G174" s="842"/>
      <c r="H174" s="842"/>
      <c r="I174" s="817"/>
      <c r="J174" s="842"/>
      <c r="K174" s="842"/>
      <c r="L174" s="817"/>
      <c r="M174" s="881"/>
      <c r="N174" s="925"/>
      <c r="O174" s="925"/>
      <c r="P174" s="528"/>
      <c r="Q174" s="528"/>
      <c r="R174" s="528"/>
      <c r="S174" s="528"/>
      <c r="T174" s="528"/>
      <c r="U174" s="528"/>
      <c r="V174" s="528"/>
      <c r="W174" s="529"/>
      <c r="X174" s="529"/>
      <c r="Y174" s="529"/>
      <c r="Z174" s="529"/>
      <c r="AA174" s="529"/>
    </row>
    <row r="175" spans="1:27" s="788" customFormat="1" x14ac:dyDescent="0.25">
      <c r="A175" s="825"/>
      <c r="B175" s="825"/>
      <c r="C175" s="825"/>
      <c r="D175" s="841"/>
      <c r="E175" s="841"/>
      <c r="F175" s="817"/>
      <c r="G175" s="842"/>
      <c r="H175" s="842"/>
      <c r="I175" s="817"/>
      <c r="J175" s="842"/>
      <c r="K175" s="842"/>
      <c r="L175" s="817"/>
      <c r="M175" s="881"/>
      <c r="N175" s="925"/>
      <c r="O175" s="925"/>
      <c r="P175" s="528"/>
      <c r="Q175" s="528"/>
      <c r="R175" s="528"/>
      <c r="S175" s="528"/>
      <c r="T175" s="528"/>
      <c r="U175" s="528"/>
      <c r="V175" s="528"/>
      <c r="W175" s="529"/>
      <c r="X175" s="529"/>
      <c r="Y175" s="529"/>
      <c r="Z175" s="529"/>
      <c r="AA175" s="529"/>
    </row>
    <row r="176" spans="1:27" s="788" customFormat="1" x14ac:dyDescent="0.25">
      <c r="A176" s="825"/>
      <c r="B176" s="825"/>
      <c r="C176" s="825"/>
      <c r="D176" s="841"/>
      <c r="E176" s="841"/>
      <c r="F176" s="817"/>
      <c r="G176" s="842"/>
      <c r="H176" s="842"/>
      <c r="I176" s="817"/>
      <c r="J176" s="842"/>
      <c r="K176" s="842"/>
      <c r="L176" s="817"/>
      <c r="M176" s="881"/>
      <c r="N176" s="925"/>
      <c r="O176" s="925"/>
      <c r="P176" s="528"/>
      <c r="Q176" s="528"/>
      <c r="R176" s="528"/>
      <c r="S176" s="528"/>
      <c r="T176" s="528"/>
      <c r="U176" s="528"/>
      <c r="V176" s="528"/>
      <c r="W176" s="529"/>
      <c r="X176" s="529"/>
      <c r="Y176" s="529"/>
      <c r="Z176" s="529"/>
      <c r="AA176" s="529"/>
    </row>
    <row r="177" spans="1:27" s="788" customFormat="1" x14ac:dyDescent="0.25">
      <c r="A177" s="825"/>
      <c r="B177" s="825"/>
      <c r="C177" s="825"/>
      <c r="D177" s="841"/>
      <c r="E177" s="841"/>
      <c r="F177" s="817"/>
      <c r="G177" s="842"/>
      <c r="H177" s="842"/>
      <c r="I177" s="817"/>
      <c r="J177" s="842"/>
      <c r="K177" s="842"/>
      <c r="L177" s="817"/>
      <c r="M177" s="881"/>
      <c r="N177" s="925"/>
      <c r="O177" s="925"/>
      <c r="P177" s="528"/>
      <c r="Q177" s="528"/>
      <c r="R177" s="528"/>
      <c r="S177" s="528"/>
      <c r="T177" s="528"/>
      <c r="U177" s="528"/>
      <c r="V177" s="528"/>
      <c r="W177" s="529"/>
      <c r="X177" s="529"/>
      <c r="Y177" s="529"/>
      <c r="Z177" s="529"/>
      <c r="AA177" s="529"/>
    </row>
    <row r="178" spans="1:27" s="788" customFormat="1" x14ac:dyDescent="0.25">
      <c r="A178" s="825"/>
      <c r="B178" s="825"/>
      <c r="C178" s="825"/>
      <c r="D178" s="841"/>
      <c r="E178" s="841"/>
      <c r="F178" s="817"/>
      <c r="G178" s="842"/>
      <c r="H178" s="842"/>
      <c r="I178" s="817"/>
      <c r="J178" s="842"/>
      <c r="K178" s="842"/>
      <c r="L178" s="817"/>
      <c r="M178" s="881"/>
      <c r="N178" s="925"/>
      <c r="O178" s="925"/>
      <c r="P178" s="528"/>
      <c r="Q178" s="528"/>
      <c r="R178" s="528"/>
      <c r="S178" s="528"/>
      <c r="T178" s="528"/>
      <c r="U178" s="528"/>
      <c r="V178" s="528"/>
      <c r="W178" s="529"/>
      <c r="X178" s="529"/>
      <c r="Y178" s="529"/>
      <c r="Z178" s="529"/>
      <c r="AA178" s="529"/>
    </row>
    <row r="179" spans="1:27" s="788" customFormat="1" x14ac:dyDescent="0.25">
      <c r="A179" s="825"/>
      <c r="B179" s="825"/>
      <c r="C179" s="825"/>
      <c r="D179" s="841"/>
      <c r="E179" s="841"/>
      <c r="F179" s="817"/>
      <c r="G179" s="842"/>
      <c r="H179" s="842"/>
      <c r="I179" s="817"/>
      <c r="J179" s="842"/>
      <c r="K179" s="842"/>
      <c r="L179" s="817"/>
      <c r="M179" s="881"/>
      <c r="N179" s="925"/>
      <c r="O179" s="925"/>
      <c r="P179" s="528"/>
      <c r="Q179" s="528"/>
      <c r="R179" s="528"/>
      <c r="S179" s="528"/>
      <c r="T179" s="528"/>
      <c r="U179" s="528"/>
      <c r="V179" s="528"/>
      <c r="W179" s="529"/>
      <c r="X179" s="529"/>
      <c r="Y179" s="529"/>
      <c r="Z179" s="529"/>
      <c r="AA179" s="529"/>
    </row>
    <row r="180" spans="1:27" s="788" customFormat="1" x14ac:dyDescent="0.25">
      <c r="A180" s="825"/>
      <c r="B180" s="825"/>
      <c r="C180" s="825"/>
      <c r="D180" s="841"/>
      <c r="E180" s="841"/>
      <c r="F180" s="817"/>
      <c r="G180" s="842"/>
      <c r="H180" s="842"/>
      <c r="I180" s="817"/>
      <c r="J180" s="842"/>
      <c r="K180" s="842"/>
      <c r="L180" s="817"/>
      <c r="M180" s="881"/>
      <c r="N180" s="925"/>
      <c r="O180" s="925"/>
      <c r="P180" s="528"/>
      <c r="Q180" s="528"/>
      <c r="R180" s="528"/>
      <c r="S180" s="528"/>
      <c r="T180" s="528"/>
      <c r="U180" s="528"/>
      <c r="V180" s="528"/>
      <c r="W180" s="529"/>
      <c r="X180" s="529"/>
      <c r="Y180" s="529"/>
      <c r="Z180" s="529"/>
      <c r="AA180" s="529"/>
    </row>
    <row r="181" spans="1:27" s="788" customFormat="1" x14ac:dyDescent="0.25">
      <c r="A181" s="825"/>
      <c r="B181" s="825"/>
      <c r="C181" s="825"/>
      <c r="D181" s="841"/>
      <c r="E181" s="841"/>
      <c r="F181" s="817"/>
      <c r="G181" s="842"/>
      <c r="H181" s="842"/>
      <c r="I181" s="817"/>
      <c r="J181" s="842"/>
      <c r="K181" s="842"/>
      <c r="L181" s="817"/>
      <c r="M181" s="881"/>
      <c r="N181" s="925"/>
      <c r="O181" s="925"/>
      <c r="P181" s="528"/>
      <c r="Q181" s="528"/>
      <c r="R181" s="528"/>
      <c r="S181" s="528"/>
      <c r="T181" s="528"/>
      <c r="U181" s="528"/>
      <c r="V181" s="528"/>
      <c r="W181" s="529"/>
      <c r="X181" s="529"/>
      <c r="Y181" s="529"/>
      <c r="Z181" s="529"/>
      <c r="AA181" s="529"/>
    </row>
    <row r="182" spans="1:27" s="788" customFormat="1" x14ac:dyDescent="0.25">
      <c r="A182" s="825"/>
      <c r="B182" s="825"/>
      <c r="C182" s="825"/>
      <c r="D182" s="841"/>
      <c r="E182" s="841"/>
      <c r="F182" s="817"/>
      <c r="G182" s="842"/>
      <c r="H182" s="842"/>
      <c r="I182" s="817"/>
      <c r="J182" s="842"/>
      <c r="K182" s="842"/>
      <c r="L182" s="817"/>
      <c r="M182" s="881"/>
      <c r="N182" s="925"/>
      <c r="O182" s="925"/>
      <c r="P182" s="528"/>
      <c r="Q182" s="528"/>
      <c r="R182" s="528"/>
      <c r="S182" s="528"/>
      <c r="T182" s="528"/>
      <c r="U182" s="528"/>
      <c r="V182" s="528"/>
      <c r="W182" s="529"/>
      <c r="X182" s="529"/>
      <c r="Y182" s="529"/>
      <c r="Z182" s="529"/>
      <c r="AA182" s="529"/>
    </row>
    <row r="183" spans="1:27" s="788" customFormat="1" x14ac:dyDescent="0.25">
      <c r="A183" s="825"/>
      <c r="B183" s="825"/>
      <c r="C183" s="825"/>
      <c r="D183" s="841"/>
      <c r="E183" s="841"/>
      <c r="F183" s="817"/>
      <c r="G183" s="842"/>
      <c r="H183" s="842"/>
      <c r="I183" s="817"/>
      <c r="J183" s="842"/>
      <c r="K183" s="842"/>
      <c r="L183" s="817"/>
      <c r="M183" s="881"/>
      <c r="N183" s="925"/>
      <c r="O183" s="925"/>
      <c r="P183" s="528"/>
      <c r="Q183" s="528"/>
      <c r="R183" s="528"/>
      <c r="S183" s="528"/>
      <c r="T183" s="528"/>
      <c r="U183" s="528"/>
      <c r="V183" s="528"/>
      <c r="W183" s="529"/>
      <c r="X183" s="529"/>
      <c r="Y183" s="529"/>
      <c r="Z183" s="529"/>
      <c r="AA183" s="529"/>
    </row>
    <row r="184" spans="1:27" s="788" customFormat="1" x14ac:dyDescent="0.25">
      <c r="A184" s="825"/>
      <c r="B184" s="825"/>
      <c r="C184" s="825"/>
      <c r="D184" s="841"/>
      <c r="E184" s="841"/>
      <c r="F184" s="817"/>
      <c r="G184" s="842"/>
      <c r="H184" s="842"/>
      <c r="I184" s="817"/>
      <c r="J184" s="842"/>
      <c r="K184" s="842"/>
      <c r="L184" s="817"/>
      <c r="M184" s="881"/>
      <c r="N184" s="925"/>
      <c r="O184" s="925"/>
      <c r="P184" s="528"/>
      <c r="Q184" s="528"/>
      <c r="R184" s="528"/>
      <c r="S184" s="528"/>
      <c r="T184" s="528"/>
      <c r="U184" s="528"/>
      <c r="V184" s="528"/>
      <c r="W184" s="529"/>
      <c r="X184" s="529"/>
      <c r="Y184" s="529"/>
      <c r="Z184" s="529"/>
      <c r="AA184" s="529"/>
    </row>
    <row r="185" spans="1:27" s="788" customFormat="1" x14ac:dyDescent="0.25">
      <c r="A185" s="825"/>
      <c r="B185" s="825"/>
      <c r="C185" s="825"/>
      <c r="D185" s="841"/>
      <c r="E185" s="841"/>
      <c r="F185" s="817"/>
      <c r="G185" s="842"/>
      <c r="H185" s="842"/>
      <c r="I185" s="817"/>
      <c r="J185" s="842"/>
      <c r="K185" s="842"/>
      <c r="L185" s="817"/>
      <c r="M185" s="881"/>
      <c r="N185" s="925"/>
      <c r="O185" s="925"/>
      <c r="P185" s="528"/>
      <c r="Q185" s="528"/>
      <c r="R185" s="528"/>
      <c r="S185" s="528"/>
      <c r="T185" s="528"/>
      <c r="U185" s="528"/>
      <c r="V185" s="528"/>
      <c r="W185" s="529"/>
      <c r="X185" s="529"/>
      <c r="Y185" s="529"/>
      <c r="Z185" s="529"/>
      <c r="AA185" s="529"/>
    </row>
    <row r="186" spans="1:27" s="788" customFormat="1" x14ac:dyDescent="0.25">
      <c r="A186" s="825"/>
      <c r="B186" s="825"/>
      <c r="C186" s="825"/>
      <c r="D186" s="841"/>
      <c r="E186" s="841"/>
      <c r="F186" s="817"/>
      <c r="G186" s="842"/>
      <c r="H186" s="842"/>
      <c r="I186" s="817"/>
      <c r="J186" s="842"/>
      <c r="K186" s="842"/>
      <c r="L186" s="817"/>
      <c r="M186" s="881"/>
      <c r="N186" s="925"/>
      <c r="O186" s="925"/>
      <c r="P186" s="528"/>
      <c r="Q186" s="528"/>
      <c r="R186" s="528"/>
      <c r="S186" s="528"/>
      <c r="T186" s="528"/>
      <c r="U186" s="528"/>
      <c r="V186" s="528"/>
      <c r="W186" s="529"/>
      <c r="X186" s="529"/>
      <c r="Y186" s="529"/>
      <c r="Z186" s="529"/>
      <c r="AA186" s="529"/>
    </row>
    <row r="187" spans="1:27" s="788" customFormat="1" x14ac:dyDescent="0.25">
      <c r="A187" s="825"/>
      <c r="B187" s="825"/>
      <c r="C187" s="825"/>
      <c r="D187" s="841"/>
      <c r="E187" s="841"/>
      <c r="F187" s="817"/>
      <c r="G187" s="842"/>
      <c r="H187" s="842"/>
      <c r="I187" s="817"/>
      <c r="J187" s="842"/>
      <c r="K187" s="842"/>
      <c r="L187" s="817"/>
      <c r="M187" s="881"/>
      <c r="N187" s="925"/>
      <c r="O187" s="925"/>
      <c r="P187" s="528"/>
      <c r="Q187" s="528"/>
      <c r="R187" s="528"/>
      <c r="S187" s="528"/>
      <c r="T187" s="528"/>
      <c r="U187" s="528"/>
      <c r="V187" s="528"/>
      <c r="W187" s="529"/>
      <c r="X187" s="529"/>
      <c r="Y187" s="529"/>
      <c r="Z187" s="529"/>
      <c r="AA187" s="529"/>
    </row>
    <row r="188" spans="1:27" s="788" customFormat="1" x14ac:dyDescent="0.25">
      <c r="A188" s="825"/>
      <c r="B188" s="825"/>
      <c r="C188" s="825"/>
      <c r="D188" s="841"/>
      <c r="E188" s="841"/>
      <c r="F188" s="817"/>
      <c r="G188" s="842"/>
      <c r="H188" s="842"/>
      <c r="I188" s="817"/>
      <c r="J188" s="842"/>
      <c r="K188" s="842"/>
      <c r="L188" s="817"/>
      <c r="M188" s="881"/>
      <c r="N188" s="925"/>
      <c r="O188" s="925"/>
      <c r="P188" s="528"/>
      <c r="Q188" s="528"/>
      <c r="R188" s="528"/>
      <c r="S188" s="528"/>
      <c r="T188" s="528"/>
      <c r="U188" s="528"/>
      <c r="V188" s="528"/>
      <c r="W188" s="529"/>
      <c r="X188" s="529"/>
      <c r="Y188" s="529"/>
      <c r="Z188" s="529"/>
      <c r="AA188" s="529"/>
    </row>
    <row r="189" spans="1:27" s="788" customFormat="1" x14ac:dyDescent="0.25">
      <c r="A189" s="825"/>
      <c r="B189" s="825"/>
      <c r="C189" s="825"/>
      <c r="D189" s="841"/>
      <c r="E189" s="841"/>
      <c r="F189" s="817"/>
      <c r="G189" s="842"/>
      <c r="H189" s="842"/>
      <c r="I189" s="817"/>
      <c r="J189" s="842"/>
      <c r="K189" s="842"/>
      <c r="L189" s="817"/>
      <c r="M189" s="881"/>
      <c r="N189" s="925"/>
      <c r="O189" s="925"/>
      <c r="P189" s="528"/>
      <c r="Q189" s="528"/>
      <c r="R189" s="528"/>
      <c r="S189" s="528"/>
      <c r="T189" s="528"/>
      <c r="U189" s="528"/>
      <c r="V189" s="528"/>
      <c r="W189" s="529"/>
      <c r="X189" s="529"/>
      <c r="Y189" s="529"/>
      <c r="Z189" s="529"/>
      <c r="AA189" s="529"/>
    </row>
    <row r="190" spans="1:27" s="788" customFormat="1" x14ac:dyDescent="0.25">
      <c r="A190" s="825"/>
      <c r="B190" s="825"/>
      <c r="C190" s="825"/>
      <c r="D190" s="841"/>
      <c r="E190" s="841"/>
      <c r="F190" s="817"/>
      <c r="G190" s="842"/>
      <c r="H190" s="842"/>
      <c r="I190" s="817"/>
      <c r="J190" s="842"/>
      <c r="K190" s="842"/>
      <c r="L190" s="817"/>
      <c r="M190" s="881"/>
      <c r="N190" s="925"/>
      <c r="O190" s="925"/>
      <c r="P190" s="528"/>
      <c r="Q190" s="528"/>
      <c r="R190" s="528"/>
      <c r="S190" s="528"/>
      <c r="T190" s="528"/>
      <c r="U190" s="528"/>
      <c r="V190" s="528"/>
      <c r="W190" s="529"/>
      <c r="X190" s="529"/>
      <c r="Y190" s="529"/>
      <c r="Z190" s="529"/>
      <c r="AA190" s="529"/>
    </row>
    <row r="191" spans="1:27" s="788" customFormat="1" x14ac:dyDescent="0.25">
      <c r="A191" s="825"/>
      <c r="B191" s="825"/>
      <c r="C191" s="825"/>
      <c r="D191" s="841"/>
      <c r="E191" s="841"/>
      <c r="F191" s="817"/>
      <c r="G191" s="842"/>
      <c r="H191" s="842"/>
      <c r="I191" s="817"/>
      <c r="J191" s="842"/>
      <c r="K191" s="842"/>
      <c r="L191" s="817"/>
      <c r="M191" s="881"/>
      <c r="N191" s="925"/>
      <c r="O191" s="925"/>
      <c r="P191" s="528"/>
      <c r="Q191" s="528"/>
      <c r="R191" s="528"/>
      <c r="S191" s="528"/>
      <c r="T191" s="528"/>
      <c r="U191" s="528"/>
      <c r="V191" s="528"/>
      <c r="W191" s="529"/>
      <c r="X191" s="529"/>
      <c r="Y191" s="529"/>
      <c r="Z191" s="529"/>
      <c r="AA191" s="529"/>
    </row>
    <row r="192" spans="1:27" s="788" customFormat="1" x14ac:dyDescent="0.25">
      <c r="A192" s="825"/>
      <c r="B192" s="825"/>
      <c r="C192" s="825"/>
      <c r="D192" s="841"/>
      <c r="E192" s="841"/>
      <c r="F192" s="817"/>
      <c r="G192" s="842"/>
      <c r="H192" s="842"/>
      <c r="I192" s="817"/>
      <c r="J192" s="842"/>
      <c r="K192" s="842"/>
      <c r="L192" s="817"/>
      <c r="M192" s="881"/>
      <c r="N192" s="925"/>
      <c r="O192" s="925"/>
      <c r="P192" s="528"/>
      <c r="Q192" s="528"/>
      <c r="R192" s="528"/>
      <c r="S192" s="528"/>
      <c r="T192" s="528"/>
      <c r="U192" s="528"/>
      <c r="V192" s="528"/>
      <c r="W192" s="529"/>
      <c r="X192" s="529"/>
      <c r="Y192" s="529"/>
      <c r="Z192" s="529"/>
      <c r="AA192" s="529"/>
    </row>
    <row r="193" spans="1:27" s="788" customFormat="1" x14ac:dyDescent="0.25">
      <c r="A193" s="825"/>
      <c r="B193" s="825"/>
      <c r="C193" s="825"/>
      <c r="D193" s="841"/>
      <c r="E193" s="841"/>
      <c r="F193" s="817"/>
      <c r="G193" s="842"/>
      <c r="H193" s="842"/>
      <c r="I193" s="817"/>
      <c r="J193" s="842"/>
      <c r="K193" s="842"/>
      <c r="L193" s="817"/>
      <c r="M193" s="881"/>
      <c r="N193" s="925"/>
      <c r="O193" s="925"/>
      <c r="P193" s="528"/>
      <c r="Q193" s="528"/>
      <c r="R193" s="528"/>
      <c r="S193" s="528"/>
      <c r="T193" s="528"/>
      <c r="U193" s="528"/>
      <c r="V193" s="528"/>
      <c r="W193" s="529"/>
      <c r="X193" s="529"/>
      <c r="Y193" s="529"/>
      <c r="Z193" s="529"/>
      <c r="AA193" s="529"/>
    </row>
    <row r="194" spans="1:27" s="788" customFormat="1" x14ac:dyDescent="0.25">
      <c r="A194" s="825"/>
      <c r="B194" s="825"/>
      <c r="C194" s="825"/>
      <c r="D194" s="841"/>
      <c r="E194" s="841"/>
      <c r="F194" s="817"/>
      <c r="G194" s="842"/>
      <c r="H194" s="842"/>
      <c r="I194" s="817"/>
      <c r="J194" s="842"/>
      <c r="K194" s="842"/>
      <c r="L194" s="817"/>
      <c r="M194" s="881"/>
      <c r="N194" s="925"/>
      <c r="O194" s="925"/>
      <c r="P194" s="528"/>
      <c r="Q194" s="528"/>
      <c r="R194" s="528"/>
      <c r="S194" s="528"/>
      <c r="T194" s="528"/>
      <c r="U194" s="528"/>
      <c r="V194" s="528"/>
      <c r="W194" s="529"/>
      <c r="X194" s="529"/>
      <c r="Y194" s="529"/>
      <c r="Z194" s="529"/>
      <c r="AA194" s="529"/>
    </row>
    <row r="195" spans="1:27" s="788" customFormat="1" x14ac:dyDescent="0.25">
      <c r="A195" s="825"/>
      <c r="B195" s="825"/>
      <c r="C195" s="825"/>
      <c r="D195" s="841"/>
      <c r="E195" s="841"/>
      <c r="F195" s="817"/>
      <c r="G195" s="842"/>
      <c r="H195" s="842"/>
      <c r="I195" s="817"/>
      <c r="J195" s="842"/>
      <c r="K195" s="842"/>
      <c r="L195" s="817"/>
      <c r="M195" s="881"/>
      <c r="N195" s="925"/>
      <c r="O195" s="925"/>
      <c r="P195" s="528"/>
      <c r="Q195" s="528"/>
      <c r="R195" s="528"/>
      <c r="S195" s="528"/>
      <c r="T195" s="528"/>
      <c r="U195" s="528"/>
      <c r="V195" s="528"/>
      <c r="W195" s="529"/>
      <c r="X195" s="529"/>
      <c r="Y195" s="529"/>
      <c r="Z195" s="529"/>
      <c r="AA195" s="529"/>
    </row>
    <row r="196" spans="1:27" s="788" customFormat="1" x14ac:dyDescent="0.25">
      <c r="A196" s="825"/>
      <c r="B196" s="825"/>
      <c r="C196" s="825"/>
      <c r="D196" s="841"/>
      <c r="E196" s="841"/>
      <c r="F196" s="817"/>
      <c r="G196" s="842"/>
      <c r="H196" s="842"/>
      <c r="I196" s="817"/>
      <c r="J196" s="842"/>
      <c r="K196" s="842"/>
      <c r="L196" s="817"/>
      <c r="M196" s="881"/>
      <c r="N196" s="925"/>
      <c r="O196" s="925"/>
      <c r="P196" s="528"/>
      <c r="Q196" s="528"/>
      <c r="R196" s="528"/>
      <c r="S196" s="528"/>
      <c r="T196" s="528"/>
      <c r="U196" s="528"/>
      <c r="V196" s="528"/>
      <c r="W196" s="529"/>
      <c r="X196" s="529"/>
      <c r="Y196" s="529"/>
      <c r="Z196" s="529"/>
      <c r="AA196" s="529"/>
    </row>
    <row r="197" spans="1:27" s="788" customFormat="1" x14ac:dyDescent="0.25">
      <c r="A197" s="825"/>
      <c r="B197" s="825"/>
      <c r="C197" s="825"/>
      <c r="D197" s="841"/>
      <c r="E197" s="841"/>
      <c r="F197" s="817"/>
      <c r="G197" s="842"/>
      <c r="H197" s="842"/>
      <c r="I197" s="817"/>
      <c r="J197" s="842"/>
      <c r="K197" s="842"/>
      <c r="L197" s="817"/>
      <c r="M197" s="881"/>
      <c r="N197" s="925"/>
      <c r="O197" s="925"/>
      <c r="P197" s="528"/>
      <c r="Q197" s="528"/>
      <c r="R197" s="528"/>
      <c r="S197" s="528"/>
      <c r="T197" s="528"/>
      <c r="U197" s="528"/>
      <c r="V197" s="528"/>
      <c r="W197" s="529"/>
      <c r="X197" s="529"/>
      <c r="Y197" s="529"/>
      <c r="Z197" s="529"/>
      <c r="AA197" s="529"/>
    </row>
    <row r="198" spans="1:27" s="788" customFormat="1" x14ac:dyDescent="0.25">
      <c r="A198" s="825"/>
      <c r="B198" s="825"/>
      <c r="C198" s="825"/>
      <c r="D198" s="841"/>
      <c r="E198" s="841"/>
      <c r="F198" s="817"/>
      <c r="G198" s="842"/>
      <c r="H198" s="842"/>
      <c r="I198" s="817"/>
      <c r="J198" s="842"/>
      <c r="K198" s="842"/>
      <c r="L198" s="817"/>
      <c r="M198" s="881"/>
      <c r="N198" s="925"/>
      <c r="O198" s="925"/>
      <c r="P198" s="528"/>
      <c r="Q198" s="528"/>
      <c r="R198" s="528"/>
      <c r="S198" s="528"/>
      <c r="T198" s="528"/>
      <c r="U198" s="528"/>
      <c r="V198" s="528"/>
      <c r="W198" s="529"/>
      <c r="X198" s="529"/>
      <c r="Y198" s="529"/>
      <c r="Z198" s="529"/>
      <c r="AA198" s="529"/>
    </row>
    <row r="199" spans="1:27" s="788" customFormat="1" x14ac:dyDescent="0.25">
      <c r="A199" s="825"/>
      <c r="B199" s="825"/>
      <c r="C199" s="825"/>
      <c r="D199" s="841"/>
      <c r="E199" s="841"/>
      <c r="F199" s="817"/>
      <c r="G199" s="842"/>
      <c r="H199" s="842"/>
      <c r="I199" s="817"/>
      <c r="J199" s="842"/>
      <c r="K199" s="842"/>
      <c r="L199" s="817"/>
      <c r="M199" s="881"/>
      <c r="N199" s="925"/>
      <c r="O199" s="925"/>
      <c r="P199" s="528"/>
      <c r="Q199" s="528"/>
      <c r="R199" s="528"/>
      <c r="S199" s="528"/>
      <c r="T199" s="528"/>
      <c r="U199" s="528"/>
      <c r="V199" s="528"/>
      <c r="W199" s="529"/>
      <c r="X199" s="529"/>
      <c r="Y199" s="529"/>
      <c r="Z199" s="529"/>
      <c r="AA199" s="529"/>
    </row>
    <row r="200" spans="1:27" s="788" customFormat="1" x14ac:dyDescent="0.25">
      <c r="A200" s="825"/>
      <c r="B200" s="825"/>
      <c r="C200" s="825"/>
      <c r="D200" s="841"/>
      <c r="E200" s="841"/>
      <c r="F200" s="817"/>
      <c r="G200" s="842"/>
      <c r="H200" s="842"/>
      <c r="I200" s="817"/>
      <c r="J200" s="842"/>
      <c r="K200" s="842"/>
      <c r="L200" s="817"/>
      <c r="M200" s="881"/>
      <c r="N200" s="925"/>
      <c r="O200" s="925"/>
      <c r="P200" s="528"/>
      <c r="Q200" s="528"/>
      <c r="R200" s="528"/>
      <c r="S200" s="528"/>
      <c r="T200" s="528"/>
      <c r="U200" s="528"/>
      <c r="V200" s="528"/>
      <c r="W200" s="529"/>
      <c r="X200" s="529"/>
      <c r="Y200" s="529"/>
      <c r="Z200" s="529"/>
      <c r="AA200" s="529"/>
    </row>
    <row r="201" spans="1:27" s="788" customFormat="1" x14ac:dyDescent="0.25">
      <c r="A201" s="825"/>
      <c r="B201" s="825"/>
      <c r="C201" s="825"/>
      <c r="D201" s="841"/>
      <c r="E201" s="841"/>
      <c r="F201" s="817"/>
      <c r="G201" s="842"/>
      <c r="H201" s="842"/>
      <c r="I201" s="817"/>
      <c r="J201" s="842"/>
      <c r="K201" s="842"/>
      <c r="L201" s="817"/>
      <c r="M201" s="881"/>
      <c r="N201" s="925"/>
      <c r="O201" s="925"/>
      <c r="P201" s="528"/>
      <c r="Q201" s="528"/>
      <c r="R201" s="528"/>
      <c r="S201" s="528"/>
      <c r="T201" s="528"/>
      <c r="U201" s="528"/>
      <c r="V201" s="528"/>
      <c r="W201" s="529"/>
      <c r="X201" s="529"/>
      <c r="Y201" s="529"/>
      <c r="Z201" s="529"/>
      <c r="AA201" s="529"/>
    </row>
    <row r="202" spans="1:27" s="788" customFormat="1" x14ac:dyDescent="0.25">
      <c r="A202" s="825"/>
      <c r="B202" s="825"/>
      <c r="C202" s="825"/>
      <c r="D202" s="841"/>
      <c r="E202" s="841"/>
      <c r="F202" s="817"/>
      <c r="G202" s="842"/>
      <c r="H202" s="842"/>
      <c r="I202" s="817"/>
      <c r="J202" s="842"/>
      <c r="K202" s="842"/>
      <c r="L202" s="817"/>
      <c r="M202" s="881"/>
      <c r="N202" s="925"/>
      <c r="O202" s="925"/>
      <c r="P202" s="528"/>
      <c r="Q202" s="528"/>
      <c r="R202" s="528"/>
      <c r="S202" s="528"/>
      <c r="T202" s="528"/>
      <c r="U202" s="528"/>
      <c r="V202" s="528"/>
      <c r="W202" s="529"/>
      <c r="X202" s="529"/>
      <c r="Y202" s="529"/>
      <c r="Z202" s="529"/>
      <c r="AA202" s="529"/>
    </row>
    <row r="203" spans="1:27" s="788" customFormat="1" x14ac:dyDescent="0.25">
      <c r="A203" s="825"/>
      <c r="B203" s="825"/>
      <c r="C203" s="825"/>
      <c r="D203" s="841"/>
      <c r="E203" s="841"/>
      <c r="F203" s="817"/>
      <c r="G203" s="842"/>
      <c r="H203" s="842"/>
      <c r="I203" s="817"/>
      <c r="J203" s="842"/>
      <c r="K203" s="842"/>
      <c r="L203" s="817"/>
      <c r="M203" s="881"/>
      <c r="N203" s="925"/>
      <c r="O203" s="925"/>
      <c r="P203" s="528"/>
      <c r="Q203" s="528"/>
      <c r="R203" s="528"/>
      <c r="S203" s="528"/>
      <c r="T203" s="528"/>
      <c r="U203" s="528"/>
      <c r="V203" s="528"/>
      <c r="W203" s="529"/>
      <c r="X203" s="529"/>
      <c r="Y203" s="529"/>
      <c r="Z203" s="529"/>
      <c r="AA203" s="529"/>
    </row>
    <row r="204" spans="1:27" s="788" customFormat="1" x14ac:dyDescent="0.25">
      <c r="A204" s="825"/>
      <c r="B204" s="825"/>
      <c r="C204" s="825"/>
      <c r="D204" s="841"/>
      <c r="E204" s="841"/>
      <c r="F204" s="817"/>
      <c r="G204" s="842"/>
      <c r="H204" s="842"/>
      <c r="I204" s="817"/>
      <c r="J204" s="842"/>
      <c r="K204" s="842"/>
      <c r="L204" s="817"/>
      <c r="M204" s="881"/>
      <c r="N204" s="925"/>
      <c r="O204" s="925"/>
      <c r="P204" s="528"/>
      <c r="Q204" s="528"/>
      <c r="R204" s="528"/>
      <c r="S204" s="528"/>
      <c r="T204" s="528"/>
      <c r="U204" s="528"/>
      <c r="V204" s="528"/>
      <c r="W204" s="529"/>
      <c r="X204" s="529"/>
      <c r="Y204" s="529"/>
      <c r="Z204" s="529"/>
      <c r="AA204" s="529"/>
    </row>
    <row r="205" spans="1:27" s="788" customFormat="1" x14ac:dyDescent="0.25">
      <c r="A205" s="825"/>
      <c r="B205" s="825"/>
      <c r="C205" s="825"/>
      <c r="D205" s="841"/>
      <c r="E205" s="841"/>
      <c r="F205" s="817"/>
      <c r="G205" s="842"/>
      <c r="H205" s="842"/>
      <c r="I205" s="817"/>
      <c r="J205" s="842"/>
      <c r="K205" s="842"/>
      <c r="L205" s="817"/>
      <c r="M205" s="881"/>
      <c r="N205" s="925"/>
      <c r="O205" s="925"/>
      <c r="P205" s="528"/>
      <c r="Q205" s="528"/>
      <c r="R205" s="528"/>
      <c r="S205" s="528"/>
      <c r="T205" s="528"/>
      <c r="U205" s="528"/>
      <c r="V205" s="528"/>
      <c r="W205" s="529"/>
      <c r="X205" s="529"/>
      <c r="Y205" s="529"/>
      <c r="Z205" s="529"/>
      <c r="AA205" s="529"/>
    </row>
    <row r="206" spans="1:27" s="788" customFormat="1" x14ac:dyDescent="0.25">
      <c r="A206" s="825"/>
      <c r="B206" s="825"/>
      <c r="C206" s="825"/>
      <c r="D206" s="841"/>
      <c r="E206" s="841"/>
      <c r="F206" s="817"/>
      <c r="G206" s="842"/>
      <c r="H206" s="842"/>
      <c r="I206" s="817"/>
      <c r="J206" s="842"/>
      <c r="K206" s="842"/>
      <c r="L206" s="817"/>
      <c r="M206" s="881"/>
      <c r="N206" s="925"/>
      <c r="O206" s="925"/>
      <c r="P206" s="528"/>
      <c r="Q206" s="528"/>
      <c r="R206" s="528"/>
      <c r="S206" s="528"/>
      <c r="T206" s="528"/>
      <c r="U206" s="528"/>
      <c r="V206" s="528"/>
      <c r="W206" s="529"/>
      <c r="X206" s="529"/>
      <c r="Y206" s="529"/>
      <c r="Z206" s="529"/>
      <c r="AA206" s="529"/>
    </row>
    <row r="207" spans="1:27" x14ac:dyDescent="0.25">
      <c r="A207" s="825"/>
      <c r="B207" s="825"/>
      <c r="C207" s="825"/>
      <c r="E207" s="841"/>
      <c r="F207" s="817"/>
      <c r="G207" s="842"/>
      <c r="H207" s="842"/>
      <c r="I207" s="817"/>
      <c r="J207" s="842"/>
      <c r="K207" s="842"/>
    </row>
    <row r="208" spans="1:27" x14ac:dyDescent="0.25">
      <c r="A208" s="825"/>
      <c r="B208" s="825"/>
      <c r="C208" s="825"/>
      <c r="E208" s="841"/>
      <c r="F208" s="817"/>
      <c r="G208" s="842"/>
      <c r="H208" s="842"/>
      <c r="I208" s="817"/>
      <c r="J208" s="842"/>
      <c r="K208" s="842"/>
    </row>
    <row r="209" spans="1:27" x14ac:dyDescent="0.25">
      <c r="A209" s="825"/>
      <c r="B209" s="825"/>
      <c r="C209" s="825"/>
      <c r="E209" s="841"/>
      <c r="F209" s="817"/>
      <c r="G209" s="842"/>
      <c r="H209" s="842"/>
      <c r="I209" s="817"/>
      <c r="J209" s="842"/>
      <c r="K209" s="842"/>
      <c r="AA209" s="529">
        <f>Y209*Z209</f>
        <v>0</v>
      </c>
    </row>
  </sheetData>
  <mergeCells count="45">
    <mergeCell ref="L9:O9"/>
    <mergeCell ref="L5:L8"/>
    <mergeCell ref="M5:M8"/>
    <mergeCell ref="N5:N8"/>
    <mergeCell ref="O5:O8"/>
    <mergeCell ref="L20:O20"/>
    <mergeCell ref="L25:L28"/>
    <mergeCell ref="M25:M28"/>
    <mergeCell ref="N25:N28"/>
    <mergeCell ref="O25:O28"/>
    <mergeCell ref="L29:L32"/>
    <mergeCell ref="L45:O45"/>
    <mergeCell ref="L48:O48"/>
    <mergeCell ref="L52:O52"/>
    <mergeCell ref="L54:L61"/>
    <mergeCell ref="N54:N61"/>
    <mergeCell ref="O54:O61"/>
    <mergeCell ref="L64:O64"/>
    <mergeCell ref="L65:L66"/>
    <mergeCell ref="M65:M66"/>
    <mergeCell ref="N65:N66"/>
    <mergeCell ref="O65:O66"/>
    <mergeCell ref="A76:C76"/>
    <mergeCell ref="A64:E64"/>
    <mergeCell ref="A75:D75"/>
    <mergeCell ref="K7:K8"/>
    <mergeCell ref="I5:K5"/>
    <mergeCell ref="A5:A8"/>
    <mergeCell ref="B5:B8"/>
    <mergeCell ref="C5:C8"/>
    <mergeCell ref="D5:D8"/>
    <mergeCell ref="E5:E8"/>
    <mergeCell ref="F5:H5"/>
    <mergeCell ref="F6:F8"/>
    <mergeCell ref="G6:G8"/>
    <mergeCell ref="H7:H8"/>
    <mergeCell ref="I6:I8"/>
    <mergeCell ref="J6:J8"/>
    <mergeCell ref="A15:E15"/>
    <mergeCell ref="A17:E17"/>
    <mergeCell ref="A2:K2"/>
    <mergeCell ref="A1:K1"/>
    <mergeCell ref="A20:E20"/>
    <mergeCell ref="A9:E9"/>
    <mergeCell ref="A3:H3"/>
  </mergeCells>
  <pageMargins left="1.1811023622047245" right="0.39370078740157483" top="0.39370078740157483" bottom="0.19685039370078741" header="0.31496062992125984" footer="0.31496062992125984"/>
  <pageSetup paperSize="9" scale="52" orientation="portrait" r:id="rId1"/>
  <rowBreaks count="1" manualBreakCount="1">
    <brk id="76"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187"/>
  <sheetViews>
    <sheetView view="pageBreakPreview" zoomScaleNormal="100" zoomScaleSheetLayoutView="100" workbookViewId="0">
      <pane ySplit="8" topLeftCell="A9" activePane="bottomLeft" state="frozen"/>
      <selection pane="bottomLeft" activeCell="A2" sqref="A2:K2"/>
    </sheetView>
  </sheetViews>
  <sheetFormatPr defaultRowHeight="13.2" x14ac:dyDescent="0.25"/>
  <cols>
    <col min="1" max="3" width="9.33203125" style="483"/>
    <col min="4" max="4" width="31.44140625" style="555" customWidth="1"/>
    <col min="5" max="5" width="10.44140625" style="637" customWidth="1"/>
    <col min="6" max="6" width="12" style="569" customWidth="1"/>
    <col min="7" max="7" width="11.6640625" style="551" customWidth="1"/>
    <col min="8" max="8" width="21.33203125" style="627" customWidth="1"/>
    <col min="9" max="9" width="13.6640625" style="495" customWidth="1"/>
    <col min="10" max="10" width="13.33203125" style="495" customWidth="1"/>
    <col min="11" max="11" width="19.44140625" style="644" customWidth="1"/>
    <col min="12" max="19" width="9.33203125" style="495"/>
  </cols>
  <sheetData>
    <row r="1" spans="1:19" ht="16.8" x14ac:dyDescent="0.25">
      <c r="A1" s="1862" t="s">
        <v>917</v>
      </c>
      <c r="B1" s="1862"/>
      <c r="C1" s="1862"/>
      <c r="D1" s="1862"/>
      <c r="E1" s="1862"/>
      <c r="F1" s="1862"/>
      <c r="G1" s="1862"/>
      <c r="H1" s="1862"/>
      <c r="I1" s="1862"/>
      <c r="J1" s="1862"/>
      <c r="K1" s="1862"/>
    </row>
    <row r="2" spans="1:19" ht="16.8" x14ac:dyDescent="0.25">
      <c r="A2" s="1862" t="s">
        <v>773</v>
      </c>
      <c r="B2" s="1862"/>
      <c r="C2" s="1862"/>
      <c r="D2" s="1862"/>
      <c r="E2" s="1862"/>
      <c r="F2" s="1862"/>
      <c r="G2" s="1862"/>
      <c r="H2" s="1862"/>
      <c r="I2" s="1862"/>
      <c r="J2" s="1862"/>
      <c r="K2" s="1862"/>
    </row>
    <row r="3" spans="1:19" ht="15.6" x14ac:dyDescent="0.25">
      <c r="A3" s="1744" t="s">
        <v>776</v>
      </c>
      <c r="B3" s="1744"/>
      <c r="C3" s="1744"/>
      <c r="D3" s="1744"/>
      <c r="E3" s="1744"/>
      <c r="F3" s="1744"/>
      <c r="G3" s="1744"/>
      <c r="H3" s="1744"/>
      <c r="I3" s="1744"/>
    </row>
    <row r="4" spans="1:19" s="492" customFormat="1" x14ac:dyDescent="0.25">
      <c r="A4" s="493"/>
      <c r="B4" s="493"/>
      <c r="C4" s="493"/>
      <c r="D4" s="552"/>
      <c r="E4" s="494"/>
      <c r="F4" s="562"/>
      <c r="G4" s="542"/>
      <c r="H4" s="619"/>
      <c r="I4" s="496"/>
      <c r="J4" s="496"/>
      <c r="K4" s="645"/>
      <c r="L4" s="496"/>
      <c r="M4" s="496"/>
      <c r="N4" s="496"/>
      <c r="O4" s="496"/>
      <c r="P4" s="496"/>
      <c r="Q4" s="496"/>
      <c r="R4" s="496"/>
      <c r="S4" s="496"/>
    </row>
    <row r="5" spans="1:19" s="492" customFormat="1" x14ac:dyDescent="0.25">
      <c r="A5" s="1882" t="s">
        <v>621</v>
      </c>
      <c r="B5" s="1882" t="s">
        <v>332</v>
      </c>
      <c r="C5" s="1882" t="s">
        <v>676</v>
      </c>
      <c r="D5" s="1883" t="s">
        <v>175</v>
      </c>
      <c r="E5" s="1884" t="s">
        <v>180</v>
      </c>
      <c r="F5" s="1887" t="s">
        <v>842</v>
      </c>
      <c r="G5" s="1888"/>
      <c r="H5" s="1888"/>
      <c r="I5" s="1887" t="s">
        <v>885</v>
      </c>
      <c r="J5" s="1888"/>
      <c r="K5" s="1889"/>
      <c r="L5" s="496"/>
      <c r="M5" s="496"/>
      <c r="N5" s="496"/>
      <c r="O5" s="496"/>
      <c r="P5" s="496"/>
      <c r="Q5" s="496"/>
      <c r="R5" s="496"/>
      <c r="S5" s="496"/>
    </row>
    <row r="6" spans="1:19" s="492" customFormat="1" x14ac:dyDescent="0.25">
      <c r="A6" s="1882"/>
      <c r="B6" s="1882"/>
      <c r="C6" s="1882"/>
      <c r="D6" s="1883"/>
      <c r="E6" s="1885"/>
      <c r="F6" s="1783" t="s">
        <v>682</v>
      </c>
      <c r="G6" s="1778" t="s">
        <v>679</v>
      </c>
      <c r="H6" s="1071" t="s">
        <v>685</v>
      </c>
      <c r="I6" s="1778" t="s">
        <v>682</v>
      </c>
      <c r="J6" s="1942" t="s">
        <v>679</v>
      </c>
      <c r="K6" s="646" t="s">
        <v>685</v>
      </c>
      <c r="L6" s="496"/>
      <c r="M6" s="496"/>
      <c r="N6" s="496"/>
      <c r="O6" s="496"/>
      <c r="P6" s="496"/>
      <c r="Q6" s="496"/>
      <c r="R6" s="496"/>
      <c r="S6" s="496"/>
    </row>
    <row r="7" spans="1:19" s="492" customFormat="1" ht="12.75" customHeight="1" x14ac:dyDescent="0.25">
      <c r="A7" s="1882"/>
      <c r="B7" s="1882"/>
      <c r="C7" s="1882"/>
      <c r="D7" s="1883"/>
      <c r="E7" s="1885"/>
      <c r="F7" s="1784"/>
      <c r="G7" s="1779"/>
      <c r="H7" s="1877" t="s">
        <v>283</v>
      </c>
      <c r="I7" s="1779"/>
      <c r="J7" s="1943"/>
      <c r="K7" s="1879" t="s">
        <v>283</v>
      </c>
      <c r="L7" s="496"/>
      <c r="M7" s="496"/>
      <c r="N7" s="496"/>
      <c r="O7" s="496"/>
      <c r="P7" s="496"/>
      <c r="Q7" s="496"/>
      <c r="R7" s="496"/>
      <c r="S7" s="496"/>
    </row>
    <row r="8" spans="1:19" s="493" customFormat="1" x14ac:dyDescent="0.25">
      <c r="A8" s="1882"/>
      <c r="B8" s="1882"/>
      <c r="C8" s="1882"/>
      <c r="D8" s="1883"/>
      <c r="E8" s="1886"/>
      <c r="F8" s="1785"/>
      <c r="G8" s="1780"/>
      <c r="H8" s="1878"/>
      <c r="I8" s="1780"/>
      <c r="J8" s="1944"/>
      <c r="K8" s="1880"/>
      <c r="L8" s="497"/>
      <c r="M8" s="497"/>
      <c r="N8" s="497"/>
      <c r="O8" s="497"/>
      <c r="P8" s="497"/>
      <c r="Q8" s="497"/>
      <c r="R8" s="497"/>
      <c r="S8" s="497"/>
    </row>
    <row r="9" spans="1:19" s="493" customFormat="1" ht="33" hidden="1" customHeight="1" x14ac:dyDescent="0.25">
      <c r="A9" s="1881" t="s">
        <v>438</v>
      </c>
      <c r="B9" s="1881"/>
      <c r="C9" s="1881"/>
      <c r="D9" s="1881"/>
      <c r="E9" s="1881"/>
      <c r="F9" s="741"/>
      <c r="G9" s="741"/>
      <c r="H9" s="742">
        <f>H10</f>
        <v>0</v>
      </c>
      <c r="I9" s="741"/>
      <c r="J9" s="741"/>
      <c r="K9" s="743">
        <f>K10</f>
        <v>0</v>
      </c>
      <c r="L9" s="497"/>
      <c r="M9" s="497"/>
      <c r="N9" s="497"/>
      <c r="O9" s="497"/>
      <c r="P9" s="497"/>
      <c r="Q9" s="497"/>
      <c r="R9" s="497"/>
      <c r="S9" s="497"/>
    </row>
    <row r="10" spans="1:19" s="340" customFormat="1" ht="14.25" hidden="1" customHeight="1" x14ac:dyDescent="0.25">
      <c r="A10" s="1068"/>
      <c r="B10" s="1068"/>
      <c r="C10" s="1068">
        <v>991</v>
      </c>
      <c r="D10" s="553" t="s">
        <v>672</v>
      </c>
      <c r="E10" s="538"/>
      <c r="F10" s="563"/>
      <c r="G10" s="545"/>
      <c r="H10" s="620">
        <f>H11+H12</f>
        <v>0</v>
      </c>
      <c r="I10" s="563"/>
      <c r="J10" s="545"/>
      <c r="K10" s="1085">
        <f>K11+K12</f>
        <v>0</v>
      </c>
      <c r="L10" s="539"/>
      <c r="M10" s="539"/>
      <c r="N10" s="539"/>
      <c r="O10" s="539"/>
      <c r="P10" s="539"/>
      <c r="Q10" s="539"/>
      <c r="R10" s="539"/>
      <c r="S10" s="539"/>
    </row>
    <row r="11" spans="1:19" s="492" customFormat="1" hidden="1" x14ac:dyDescent="0.25">
      <c r="A11" s="535">
        <v>111</v>
      </c>
      <c r="B11" s="535">
        <v>211</v>
      </c>
      <c r="C11" s="535">
        <v>991</v>
      </c>
      <c r="D11" s="554" t="s">
        <v>703</v>
      </c>
      <c r="E11" s="531" t="s">
        <v>683</v>
      </c>
      <c r="F11" s="564"/>
      <c r="G11" s="547"/>
      <c r="H11" s="622"/>
      <c r="I11" s="564"/>
      <c r="J11" s="547"/>
      <c r="K11" s="1088"/>
      <c r="L11" s="496"/>
      <c r="M11" s="496"/>
      <c r="N11" s="496"/>
      <c r="O11" s="496"/>
      <c r="P11" s="496"/>
      <c r="Q11" s="496"/>
      <c r="R11" s="496"/>
      <c r="S11" s="496"/>
    </row>
    <row r="12" spans="1:19" s="492" customFormat="1" ht="26.4" hidden="1" x14ac:dyDescent="0.25">
      <c r="A12" s="536">
        <v>111</v>
      </c>
      <c r="B12" s="536">
        <v>266</v>
      </c>
      <c r="C12" s="536">
        <v>991</v>
      </c>
      <c r="D12" s="485" t="s">
        <v>677</v>
      </c>
      <c r="E12" s="534" t="s">
        <v>683</v>
      </c>
      <c r="F12" s="565"/>
      <c r="G12" s="547"/>
      <c r="H12" s="624"/>
      <c r="I12" s="565"/>
      <c r="J12" s="547"/>
      <c r="K12" s="1086"/>
      <c r="L12" s="496"/>
      <c r="M12" s="496"/>
      <c r="N12" s="496"/>
      <c r="O12" s="496"/>
      <c r="P12" s="496"/>
      <c r="Q12" s="496"/>
      <c r="R12" s="496"/>
      <c r="S12" s="496"/>
    </row>
    <row r="13" spans="1:19" ht="25.5" hidden="1" customHeight="1" x14ac:dyDescent="0.25">
      <c r="A13" s="1863" t="s">
        <v>440</v>
      </c>
      <c r="B13" s="1864"/>
      <c r="C13" s="1864"/>
      <c r="D13" s="1864"/>
      <c r="E13" s="1865"/>
      <c r="F13" s="744"/>
      <c r="G13" s="745"/>
      <c r="H13" s="746">
        <f>H15+H14+H16</f>
        <v>0</v>
      </c>
      <c r="I13" s="744"/>
      <c r="J13" s="745"/>
      <c r="K13" s="748">
        <f>K15+K14+K16</f>
        <v>0</v>
      </c>
    </row>
    <row r="14" spans="1:19" s="492" customFormat="1" ht="66" hidden="1" x14ac:dyDescent="0.25">
      <c r="A14" s="1068">
        <v>112</v>
      </c>
      <c r="B14" s="1068">
        <v>212</v>
      </c>
      <c r="C14" s="1068">
        <v>912</v>
      </c>
      <c r="D14" s="553" t="s">
        <v>215</v>
      </c>
      <c r="E14" s="561" t="s">
        <v>740</v>
      </c>
      <c r="F14" s="563"/>
      <c r="G14" s="545"/>
      <c r="H14" s="631">
        <v>0</v>
      </c>
      <c r="I14" s="660"/>
      <c r="J14" s="659"/>
      <c r="K14" s="631">
        <v>0</v>
      </c>
      <c r="L14" s="496"/>
      <c r="M14" s="496"/>
      <c r="N14" s="496"/>
      <c r="O14" s="496"/>
      <c r="P14" s="496"/>
      <c r="Q14" s="496"/>
      <c r="R14" s="496"/>
      <c r="S14" s="496"/>
    </row>
    <row r="15" spans="1:19" s="529" customFormat="1" ht="105.6" hidden="1" x14ac:dyDescent="0.25">
      <c r="A15" s="1062">
        <v>112</v>
      </c>
      <c r="B15" s="1062">
        <v>214</v>
      </c>
      <c r="C15" s="1062">
        <v>921</v>
      </c>
      <c r="D15" s="556" t="s">
        <v>686</v>
      </c>
      <c r="E15" s="541" t="s">
        <v>182</v>
      </c>
      <c r="F15" s="618"/>
      <c r="G15" s="545"/>
      <c r="H15" s="636">
        <v>0</v>
      </c>
      <c r="I15" s="617"/>
      <c r="J15" s="659"/>
      <c r="K15" s="1093">
        <v>0</v>
      </c>
      <c r="L15" s="528"/>
      <c r="M15" s="528"/>
      <c r="N15" s="528"/>
      <c r="O15" s="528"/>
      <c r="P15" s="528"/>
      <c r="Q15" s="528"/>
      <c r="R15" s="528"/>
      <c r="S15" s="528"/>
    </row>
    <row r="16" spans="1:19" s="529" customFormat="1" ht="52.8" hidden="1" x14ac:dyDescent="0.25">
      <c r="A16" s="1062">
        <v>112</v>
      </c>
      <c r="B16" s="1062">
        <v>226</v>
      </c>
      <c r="C16" s="1062">
        <v>952</v>
      </c>
      <c r="D16" s="556" t="s">
        <v>218</v>
      </c>
      <c r="E16" s="541" t="s">
        <v>740</v>
      </c>
      <c r="F16" s="618"/>
      <c r="G16" s="545"/>
      <c r="H16" s="628">
        <v>0</v>
      </c>
      <c r="I16" s="617"/>
      <c r="J16" s="659"/>
      <c r="K16" s="632">
        <v>0</v>
      </c>
      <c r="L16" s="528"/>
      <c r="M16" s="528"/>
      <c r="N16" s="528"/>
      <c r="O16" s="528"/>
      <c r="P16" s="528"/>
      <c r="Q16" s="528"/>
      <c r="R16" s="528"/>
      <c r="S16" s="528"/>
    </row>
    <row r="17" spans="1:19" s="529" customFormat="1" ht="55.5" hidden="1" customHeight="1" x14ac:dyDescent="0.25">
      <c r="A17" s="1866" t="s">
        <v>611</v>
      </c>
      <c r="B17" s="1867"/>
      <c r="C17" s="1867"/>
      <c r="D17" s="1867"/>
      <c r="E17" s="1868"/>
      <c r="F17" s="741"/>
      <c r="G17" s="741"/>
      <c r="H17" s="743">
        <f>H18</f>
        <v>0</v>
      </c>
      <c r="I17" s="741"/>
      <c r="J17" s="741"/>
      <c r="K17" s="743">
        <f>K18</f>
        <v>0</v>
      </c>
      <c r="L17" s="528"/>
      <c r="M17" s="528"/>
      <c r="N17" s="528"/>
      <c r="O17" s="528"/>
      <c r="P17" s="528"/>
      <c r="Q17" s="528"/>
      <c r="R17" s="528"/>
      <c r="S17" s="528"/>
    </row>
    <row r="18" spans="1:19" s="573" customFormat="1" ht="184.8" hidden="1" x14ac:dyDescent="0.25">
      <c r="A18" s="1869">
        <v>113</v>
      </c>
      <c r="B18" s="1870">
        <v>226</v>
      </c>
      <c r="C18" s="1872">
        <v>966</v>
      </c>
      <c r="D18" s="588" t="s">
        <v>226</v>
      </c>
      <c r="E18" s="538"/>
      <c r="F18" s="563"/>
      <c r="G18" s="544"/>
      <c r="H18" s="621">
        <f>H19</f>
        <v>0</v>
      </c>
      <c r="I18" s="563"/>
      <c r="J18" s="544"/>
      <c r="K18" s="621">
        <f>K19</f>
        <v>0</v>
      </c>
      <c r="L18" s="572"/>
      <c r="M18" s="572"/>
      <c r="N18" s="572"/>
      <c r="O18" s="572"/>
      <c r="P18" s="572"/>
      <c r="Q18" s="572"/>
      <c r="R18" s="572"/>
      <c r="S18" s="572"/>
    </row>
    <row r="19" spans="1:19" s="573" customFormat="1" ht="26.4" hidden="1" x14ac:dyDescent="0.25">
      <c r="A19" s="1869"/>
      <c r="B19" s="1871"/>
      <c r="C19" s="1873"/>
      <c r="D19" s="485" t="s">
        <v>668</v>
      </c>
      <c r="E19" s="534" t="s">
        <v>718</v>
      </c>
      <c r="F19" s="565"/>
      <c r="G19" s="548"/>
      <c r="H19" s="625"/>
      <c r="I19" s="565"/>
      <c r="J19" s="548"/>
      <c r="K19" s="625"/>
      <c r="L19" s="572"/>
      <c r="M19" s="572"/>
      <c r="N19" s="572"/>
      <c r="O19" s="572"/>
      <c r="P19" s="572"/>
      <c r="Q19" s="572"/>
      <c r="R19" s="572"/>
      <c r="S19" s="572"/>
    </row>
    <row r="20" spans="1:19" s="493" customFormat="1" ht="44.25" hidden="1" customHeight="1" x14ac:dyDescent="0.25">
      <c r="A20" s="1863" t="s">
        <v>684</v>
      </c>
      <c r="B20" s="1864"/>
      <c r="C20" s="1864"/>
      <c r="D20" s="1864"/>
      <c r="E20" s="1865"/>
      <c r="F20" s="747"/>
      <c r="G20" s="747"/>
      <c r="H20" s="748">
        <f>H21</f>
        <v>0</v>
      </c>
      <c r="I20" s="747"/>
      <c r="J20" s="747"/>
      <c r="K20" s="748">
        <f>K21</f>
        <v>0</v>
      </c>
      <c r="L20" s="497"/>
      <c r="M20" s="497"/>
      <c r="N20" s="497"/>
      <c r="O20" s="497"/>
      <c r="P20" s="497"/>
      <c r="Q20" s="497"/>
      <c r="R20" s="497"/>
      <c r="S20" s="497"/>
    </row>
    <row r="21" spans="1:19" s="493" customFormat="1" ht="13.5" hidden="1" customHeight="1" x14ac:dyDescent="0.25">
      <c r="A21" s="561"/>
      <c r="B21" s="537"/>
      <c r="C21" s="561">
        <v>992</v>
      </c>
      <c r="D21" s="540" t="s">
        <v>678</v>
      </c>
      <c r="E21" s="560"/>
      <c r="F21" s="563"/>
      <c r="G21" s="568"/>
      <c r="H21" s="626">
        <f>H22</f>
        <v>0</v>
      </c>
      <c r="I21" s="563"/>
      <c r="J21" s="568"/>
      <c r="K21" s="626">
        <f>K22</f>
        <v>0</v>
      </c>
      <c r="L21" s="497"/>
      <c r="M21" s="497"/>
      <c r="N21" s="497"/>
      <c r="O21" s="497"/>
      <c r="P21" s="497"/>
      <c r="Q21" s="497"/>
      <c r="R21" s="497"/>
      <c r="S21" s="497"/>
    </row>
    <row r="22" spans="1:19" s="492" customFormat="1" ht="26.4" hidden="1" x14ac:dyDescent="0.25">
      <c r="A22" s="535">
        <v>119</v>
      </c>
      <c r="B22" s="530">
        <v>213</v>
      </c>
      <c r="C22" s="535">
        <v>992</v>
      </c>
      <c r="D22" s="554" t="s">
        <v>678</v>
      </c>
      <c r="E22" s="531" t="s">
        <v>683</v>
      </c>
      <c r="F22" s="564"/>
      <c r="G22" s="546"/>
      <c r="H22" s="623"/>
      <c r="I22" s="564"/>
      <c r="J22" s="546"/>
      <c r="K22" s="623"/>
      <c r="L22" s="496"/>
      <c r="M22" s="496"/>
      <c r="N22" s="496"/>
      <c r="O22" s="496"/>
      <c r="P22" s="496"/>
      <c r="Q22" s="496"/>
      <c r="R22" s="496"/>
      <c r="S22" s="496"/>
    </row>
    <row r="23" spans="1:19" ht="37.5" hidden="1" customHeight="1" x14ac:dyDescent="0.25">
      <c r="A23" s="1874" t="s">
        <v>612</v>
      </c>
      <c r="B23" s="1875"/>
      <c r="C23" s="1875"/>
      <c r="D23" s="1875"/>
      <c r="E23" s="1876"/>
      <c r="F23" s="745"/>
      <c r="G23" s="745"/>
      <c r="H23" s="749">
        <f>H25+H27+H33+H35+H39+H46+H48+H52+H24+H44+H50</f>
        <v>0</v>
      </c>
      <c r="I23" s="745"/>
      <c r="J23" s="745"/>
      <c r="K23" s="749">
        <f>K25+K27+K33+K35+K39+K46+K48+K52+K24+K44+K50</f>
        <v>0</v>
      </c>
    </row>
    <row r="24" spans="1:19" s="492" customFormat="1" ht="37.5" hidden="1" customHeight="1" x14ac:dyDescent="0.25">
      <c r="A24" s="591">
        <v>244</v>
      </c>
      <c r="B24" s="591">
        <v>222</v>
      </c>
      <c r="C24" s="591">
        <v>922</v>
      </c>
      <c r="D24" s="750" t="s">
        <v>743</v>
      </c>
      <c r="E24" s="1061" t="s">
        <v>744</v>
      </c>
      <c r="F24" s="751"/>
      <c r="G24" s="566"/>
      <c r="H24" s="655"/>
      <c r="I24" s="751"/>
      <c r="J24" s="566"/>
      <c r="K24" s="655"/>
      <c r="L24" s="496"/>
      <c r="M24" s="496"/>
      <c r="N24" s="496"/>
      <c r="O24" s="496"/>
      <c r="P24" s="496"/>
      <c r="Q24" s="496"/>
      <c r="R24" s="496"/>
      <c r="S24" s="496"/>
    </row>
    <row r="25" spans="1:19" s="573" customFormat="1" hidden="1" x14ac:dyDescent="0.25">
      <c r="A25" s="1068">
        <v>244</v>
      </c>
      <c r="B25" s="1070">
        <v>221</v>
      </c>
      <c r="C25" s="1068">
        <v>925</v>
      </c>
      <c r="D25" s="558" t="s">
        <v>704</v>
      </c>
      <c r="E25" s="561"/>
      <c r="F25" s="571"/>
      <c r="G25" s="545"/>
      <c r="H25" s="621">
        <f>H26</f>
        <v>0</v>
      </c>
      <c r="I25" s="571"/>
      <c r="J25" s="545"/>
      <c r="K25" s="621">
        <f>K26</f>
        <v>0</v>
      </c>
      <c r="L25" s="572"/>
      <c r="M25" s="572"/>
      <c r="N25" s="572"/>
      <c r="O25" s="572"/>
      <c r="P25" s="572"/>
      <c r="Q25" s="572"/>
      <c r="R25" s="572"/>
      <c r="S25" s="572"/>
    </row>
    <row r="26" spans="1:19" s="573" customFormat="1" ht="39.6" hidden="1" x14ac:dyDescent="0.25">
      <c r="A26" s="536"/>
      <c r="B26" s="533"/>
      <c r="C26" s="536">
        <v>925</v>
      </c>
      <c r="D26" s="559" t="s">
        <v>366</v>
      </c>
      <c r="E26" s="1065" t="s">
        <v>181</v>
      </c>
      <c r="F26" s="574"/>
      <c r="G26" s="549"/>
      <c r="H26" s="625"/>
      <c r="I26" s="574"/>
      <c r="J26" s="549"/>
      <c r="K26" s="625"/>
      <c r="L26" s="572"/>
      <c r="M26" s="572"/>
      <c r="N26" s="572"/>
      <c r="O26" s="572"/>
      <c r="P26" s="572"/>
      <c r="Q26" s="572"/>
      <c r="R26" s="572"/>
      <c r="S26" s="572"/>
    </row>
    <row r="27" spans="1:19" s="573" customFormat="1" ht="26.4" hidden="1" x14ac:dyDescent="0.25">
      <c r="A27" s="561">
        <v>244</v>
      </c>
      <c r="B27" s="538">
        <v>225</v>
      </c>
      <c r="C27" s="561">
        <v>941</v>
      </c>
      <c r="D27" s="558" t="s">
        <v>719</v>
      </c>
      <c r="E27" s="1082"/>
      <c r="F27" s="580"/>
      <c r="G27" s="581"/>
      <c r="H27" s="621">
        <f>SUM(H28:H32)</f>
        <v>0</v>
      </c>
      <c r="I27" s="580"/>
      <c r="J27" s="581"/>
      <c r="K27" s="621">
        <f>SUM(K28:K32)</f>
        <v>0</v>
      </c>
      <c r="L27" s="572"/>
      <c r="M27" s="572"/>
      <c r="N27" s="572"/>
      <c r="O27" s="572"/>
      <c r="P27" s="572"/>
      <c r="Q27" s="572"/>
      <c r="R27" s="572"/>
      <c r="S27" s="572"/>
    </row>
    <row r="28" spans="1:19" s="573" customFormat="1" hidden="1" x14ac:dyDescent="0.25">
      <c r="A28" s="1064"/>
      <c r="B28" s="531"/>
      <c r="C28" s="1064"/>
      <c r="D28" s="557" t="s">
        <v>377</v>
      </c>
      <c r="E28" s="1064" t="s">
        <v>718</v>
      </c>
      <c r="F28" s="578"/>
      <c r="G28" s="547"/>
      <c r="H28" s="623"/>
      <c r="I28" s="578"/>
      <c r="J28" s="547"/>
      <c r="K28" s="623"/>
      <c r="L28" s="572"/>
      <c r="M28" s="572"/>
      <c r="N28" s="572"/>
      <c r="O28" s="572"/>
      <c r="P28" s="572"/>
      <c r="Q28" s="572"/>
      <c r="R28" s="572"/>
      <c r="S28" s="572"/>
    </row>
    <row r="29" spans="1:19" s="573" customFormat="1" ht="26.4" hidden="1" x14ac:dyDescent="0.25">
      <c r="A29" s="1064"/>
      <c r="B29" s="531"/>
      <c r="C29" s="1064"/>
      <c r="D29" s="557" t="s">
        <v>378</v>
      </c>
      <c r="E29" s="1064" t="s">
        <v>718</v>
      </c>
      <c r="F29" s="578"/>
      <c r="G29" s="547"/>
      <c r="H29" s="623"/>
      <c r="I29" s="578"/>
      <c r="J29" s="547"/>
      <c r="K29" s="623"/>
      <c r="L29" s="572"/>
      <c r="M29" s="572"/>
      <c r="N29" s="572"/>
      <c r="O29" s="572"/>
      <c r="P29" s="572"/>
      <c r="Q29" s="572"/>
      <c r="R29" s="572"/>
      <c r="S29" s="572"/>
    </row>
    <row r="30" spans="1:19" s="573" customFormat="1" ht="26.4" hidden="1" x14ac:dyDescent="0.25">
      <c r="A30" s="1064"/>
      <c r="B30" s="531"/>
      <c r="C30" s="1064"/>
      <c r="D30" s="557" t="s">
        <v>379</v>
      </c>
      <c r="E30" s="1064" t="s">
        <v>718</v>
      </c>
      <c r="F30" s="578"/>
      <c r="G30" s="547"/>
      <c r="H30" s="623"/>
      <c r="I30" s="578"/>
      <c r="J30" s="547"/>
      <c r="K30" s="623"/>
      <c r="L30" s="572"/>
      <c r="M30" s="572"/>
      <c r="N30" s="572"/>
      <c r="O30" s="572"/>
      <c r="P30" s="572"/>
      <c r="Q30" s="572"/>
      <c r="R30" s="572"/>
      <c r="S30" s="572"/>
    </row>
    <row r="31" spans="1:19" s="573" customFormat="1" hidden="1" x14ac:dyDescent="0.25">
      <c r="A31" s="1064"/>
      <c r="B31" s="531"/>
      <c r="C31" s="1064"/>
      <c r="D31" s="557" t="s">
        <v>396</v>
      </c>
      <c r="E31" s="1064" t="s">
        <v>718</v>
      </c>
      <c r="F31" s="578"/>
      <c r="G31" s="547"/>
      <c r="H31" s="623"/>
      <c r="I31" s="578"/>
      <c r="J31" s="547"/>
      <c r="K31" s="623"/>
      <c r="L31" s="572"/>
      <c r="M31" s="572"/>
      <c r="N31" s="572"/>
      <c r="O31" s="572"/>
      <c r="P31" s="572"/>
      <c r="Q31" s="572"/>
      <c r="R31" s="572"/>
      <c r="S31" s="572"/>
    </row>
    <row r="32" spans="1:19" s="573" customFormat="1" hidden="1" x14ac:dyDescent="0.25">
      <c r="A32" s="1065"/>
      <c r="B32" s="534"/>
      <c r="C32" s="1065"/>
      <c r="D32" s="559" t="s">
        <v>666</v>
      </c>
      <c r="E32" s="1064" t="s">
        <v>718</v>
      </c>
      <c r="F32" s="574"/>
      <c r="G32" s="547"/>
      <c r="H32" s="625"/>
      <c r="I32" s="574"/>
      <c r="J32" s="547"/>
      <c r="K32" s="625"/>
      <c r="L32" s="572"/>
      <c r="M32" s="572"/>
      <c r="N32" s="572"/>
      <c r="O32" s="572"/>
      <c r="P32" s="572"/>
      <c r="Q32" s="572"/>
      <c r="R32" s="572"/>
      <c r="S32" s="572"/>
    </row>
    <row r="33" spans="1:19" s="573" customFormat="1" ht="13.5" hidden="1" customHeight="1" x14ac:dyDescent="0.25">
      <c r="A33" s="583">
        <v>244</v>
      </c>
      <c r="B33" s="561">
        <v>225</v>
      </c>
      <c r="C33" s="538" t="s">
        <v>720</v>
      </c>
      <c r="D33" s="553" t="s">
        <v>721</v>
      </c>
      <c r="E33" s="532"/>
      <c r="F33" s="584"/>
      <c r="G33" s="585"/>
      <c r="H33" s="621">
        <f>H34</f>
        <v>0</v>
      </c>
      <c r="I33" s="584"/>
      <c r="J33" s="585"/>
      <c r="K33" s="621">
        <f>K34</f>
        <v>0</v>
      </c>
      <c r="L33" s="572"/>
      <c r="M33" s="572"/>
      <c r="N33" s="572"/>
      <c r="O33" s="572"/>
      <c r="P33" s="572"/>
      <c r="Q33" s="572"/>
      <c r="R33" s="572"/>
      <c r="S33" s="572"/>
    </row>
    <row r="34" spans="1:19" s="573" customFormat="1" ht="26.4" hidden="1" x14ac:dyDescent="0.25">
      <c r="A34" s="586"/>
      <c r="B34" s="1065"/>
      <c r="C34" s="534"/>
      <c r="D34" s="485" t="s">
        <v>722</v>
      </c>
      <c r="E34" s="1064" t="s">
        <v>718</v>
      </c>
      <c r="F34" s="565"/>
      <c r="G34" s="548"/>
      <c r="H34" s="625"/>
      <c r="I34" s="565"/>
      <c r="J34" s="548"/>
      <c r="K34" s="625"/>
      <c r="L34" s="572"/>
      <c r="M34" s="572"/>
      <c r="N34" s="572"/>
      <c r="O34" s="572"/>
      <c r="P34" s="572"/>
      <c r="Q34" s="572"/>
      <c r="R34" s="572"/>
      <c r="S34" s="572"/>
    </row>
    <row r="35" spans="1:19" s="573" customFormat="1" ht="66" hidden="1" x14ac:dyDescent="0.25">
      <c r="A35" s="583">
        <v>244</v>
      </c>
      <c r="B35" s="561">
        <v>226</v>
      </c>
      <c r="C35" s="538">
        <v>953</v>
      </c>
      <c r="D35" s="553" t="s">
        <v>723</v>
      </c>
      <c r="E35" s="532"/>
      <c r="F35" s="584"/>
      <c r="G35" s="585"/>
      <c r="H35" s="621">
        <f>SUM(H36:H38)</f>
        <v>0</v>
      </c>
      <c r="I35" s="584"/>
      <c r="J35" s="585"/>
      <c r="K35" s="621">
        <f>SUM(K36:K38)</f>
        <v>0</v>
      </c>
      <c r="L35" s="572"/>
      <c r="M35" s="572"/>
      <c r="N35" s="572"/>
      <c r="O35" s="572"/>
      <c r="P35" s="572"/>
      <c r="Q35" s="572"/>
      <c r="R35" s="572"/>
      <c r="S35" s="572"/>
    </row>
    <row r="36" spans="1:19" s="573" customFormat="1" hidden="1" x14ac:dyDescent="0.25">
      <c r="A36" s="587"/>
      <c r="B36" s="1064"/>
      <c r="C36" s="531"/>
      <c r="D36" s="554" t="s">
        <v>380</v>
      </c>
      <c r="E36" s="531" t="s">
        <v>178</v>
      </c>
      <c r="F36" s="564"/>
      <c r="G36" s="546"/>
      <c r="H36" s="623"/>
      <c r="I36" s="564"/>
      <c r="J36" s="546"/>
      <c r="K36" s="623"/>
      <c r="L36" s="572"/>
      <c r="M36" s="572"/>
      <c r="N36" s="572"/>
      <c r="O36" s="572"/>
      <c r="P36" s="572"/>
      <c r="Q36" s="572"/>
      <c r="R36" s="572"/>
      <c r="S36" s="572"/>
    </row>
    <row r="37" spans="1:19" s="573" customFormat="1" ht="39.6" hidden="1" x14ac:dyDescent="0.25">
      <c r="A37" s="587"/>
      <c r="B37" s="1064"/>
      <c r="C37" s="531"/>
      <c r="D37" s="554" t="s">
        <v>671</v>
      </c>
      <c r="E37" s="531" t="s">
        <v>178</v>
      </c>
      <c r="F37" s="564"/>
      <c r="G37" s="546"/>
      <c r="H37" s="623"/>
      <c r="I37" s="564"/>
      <c r="J37" s="546"/>
      <c r="K37" s="623"/>
      <c r="L37" s="572"/>
      <c r="M37" s="572"/>
      <c r="N37" s="572"/>
      <c r="O37" s="572"/>
      <c r="P37" s="572"/>
      <c r="Q37" s="572"/>
      <c r="R37" s="572"/>
      <c r="S37" s="572"/>
    </row>
    <row r="38" spans="1:19" s="573" customFormat="1" hidden="1" x14ac:dyDescent="0.25">
      <c r="A38" s="586"/>
      <c r="B38" s="1065"/>
      <c r="C38" s="534"/>
      <c r="D38" s="485" t="s">
        <v>381</v>
      </c>
      <c r="E38" s="534" t="s">
        <v>178</v>
      </c>
      <c r="F38" s="565"/>
      <c r="G38" s="546"/>
      <c r="H38" s="625"/>
      <c r="I38" s="565"/>
      <c r="J38" s="546"/>
      <c r="K38" s="625"/>
      <c r="L38" s="572"/>
      <c r="M38" s="572"/>
      <c r="N38" s="572"/>
      <c r="O38" s="572"/>
      <c r="P38" s="572"/>
      <c r="Q38" s="572"/>
      <c r="R38" s="572"/>
      <c r="S38" s="572"/>
    </row>
    <row r="39" spans="1:19" s="573" customFormat="1" hidden="1" x14ac:dyDescent="0.25">
      <c r="A39" s="583">
        <v>244</v>
      </c>
      <c r="B39" s="561">
        <v>226</v>
      </c>
      <c r="C39" s="538" t="s">
        <v>724</v>
      </c>
      <c r="D39" s="553" t="s">
        <v>725</v>
      </c>
      <c r="E39" s="538"/>
      <c r="F39" s="563"/>
      <c r="G39" s="544"/>
      <c r="H39" s="621">
        <f>SUM(H40:H43)</f>
        <v>0</v>
      </c>
      <c r="I39" s="563"/>
      <c r="J39" s="544"/>
      <c r="K39" s="621">
        <f>SUM(K40:K43)</f>
        <v>0</v>
      </c>
      <c r="L39" s="572"/>
      <c r="M39" s="572"/>
      <c r="N39" s="572"/>
      <c r="O39" s="572"/>
      <c r="P39" s="572"/>
      <c r="Q39" s="572"/>
      <c r="R39" s="572"/>
      <c r="S39" s="572"/>
    </row>
    <row r="40" spans="1:19" s="573" customFormat="1" ht="52.8" hidden="1" x14ac:dyDescent="0.25">
      <c r="A40" s="587"/>
      <c r="B40" s="1064"/>
      <c r="C40" s="531"/>
      <c r="D40" s="554" t="s">
        <v>667</v>
      </c>
      <c r="E40" s="531" t="s">
        <v>370</v>
      </c>
      <c r="F40" s="564"/>
      <c r="G40" s="546"/>
      <c r="H40" s="623"/>
      <c r="I40" s="564"/>
      <c r="J40" s="546"/>
      <c r="K40" s="623"/>
      <c r="L40" s="572"/>
      <c r="M40" s="572"/>
      <c r="N40" s="572"/>
      <c r="O40" s="572"/>
      <c r="P40" s="572"/>
      <c r="Q40" s="572"/>
      <c r="R40" s="572"/>
      <c r="S40" s="572"/>
    </row>
    <row r="41" spans="1:19" s="573" customFormat="1" ht="26.4" hidden="1" x14ac:dyDescent="0.25">
      <c r="A41" s="587"/>
      <c r="B41" s="1064"/>
      <c r="C41" s="531"/>
      <c r="D41" s="554" t="s">
        <v>383</v>
      </c>
      <c r="E41" s="531" t="s">
        <v>370</v>
      </c>
      <c r="F41" s="564"/>
      <c r="G41" s="546"/>
      <c r="H41" s="623"/>
      <c r="I41" s="564"/>
      <c r="J41" s="546"/>
      <c r="K41" s="623"/>
      <c r="L41" s="572"/>
      <c r="M41" s="572"/>
      <c r="N41" s="572"/>
      <c r="O41" s="572"/>
      <c r="P41" s="572"/>
      <c r="Q41" s="572"/>
      <c r="R41" s="572"/>
      <c r="S41" s="572"/>
    </row>
    <row r="42" spans="1:19" s="573" customFormat="1" ht="26.4" hidden="1" x14ac:dyDescent="0.25">
      <c r="A42" s="587"/>
      <c r="B42" s="1064"/>
      <c r="C42" s="531"/>
      <c r="D42" s="554" t="s">
        <v>382</v>
      </c>
      <c r="E42" s="531" t="s">
        <v>370</v>
      </c>
      <c r="F42" s="564"/>
      <c r="G42" s="546"/>
      <c r="H42" s="623"/>
      <c r="I42" s="564"/>
      <c r="J42" s="546"/>
      <c r="K42" s="623"/>
      <c r="L42" s="572"/>
      <c r="M42" s="572"/>
      <c r="N42" s="572"/>
      <c r="O42" s="572"/>
      <c r="P42" s="572"/>
      <c r="Q42" s="572"/>
      <c r="R42" s="572"/>
      <c r="S42" s="572"/>
    </row>
    <row r="43" spans="1:19" s="573" customFormat="1" ht="26.4" hidden="1" x14ac:dyDescent="0.25">
      <c r="A43" s="586"/>
      <c r="B43" s="1065"/>
      <c r="C43" s="534"/>
      <c r="D43" s="485" t="s">
        <v>668</v>
      </c>
      <c r="E43" s="534" t="s">
        <v>718</v>
      </c>
      <c r="F43" s="565"/>
      <c r="G43" s="546"/>
      <c r="H43" s="625"/>
      <c r="I43" s="565"/>
      <c r="J43" s="546"/>
      <c r="K43" s="625"/>
      <c r="L43" s="572"/>
      <c r="M43" s="572"/>
      <c r="N43" s="572"/>
      <c r="O43" s="572"/>
      <c r="P43" s="572"/>
      <c r="Q43" s="572"/>
      <c r="R43" s="572"/>
      <c r="S43" s="572"/>
    </row>
    <row r="44" spans="1:19" s="573" customFormat="1" ht="26.4" hidden="1" x14ac:dyDescent="0.25">
      <c r="A44" s="634">
        <v>244</v>
      </c>
      <c r="B44" s="576">
        <v>226</v>
      </c>
      <c r="C44" s="537">
        <v>955</v>
      </c>
      <c r="D44" s="582" t="s">
        <v>748</v>
      </c>
      <c r="E44" s="531"/>
      <c r="F44" s="564"/>
      <c r="G44" s="581"/>
      <c r="H44" s="577">
        <f>H45</f>
        <v>0</v>
      </c>
      <c r="I44" s="564"/>
      <c r="J44" s="581"/>
      <c r="K44" s="657">
        <f>K45</f>
        <v>0</v>
      </c>
      <c r="L44" s="572"/>
      <c r="M44" s="572"/>
      <c r="N44" s="572"/>
      <c r="O44" s="572"/>
      <c r="P44" s="572"/>
      <c r="Q44" s="572"/>
      <c r="R44" s="572"/>
      <c r="S44" s="572"/>
    </row>
    <row r="45" spans="1:19" s="573" customFormat="1" ht="26.4" hidden="1" x14ac:dyDescent="0.25">
      <c r="A45" s="587"/>
      <c r="B45" s="1064"/>
      <c r="C45" s="531"/>
      <c r="D45" s="485" t="s">
        <v>668</v>
      </c>
      <c r="E45" s="534" t="s">
        <v>718</v>
      </c>
      <c r="F45" s="564"/>
      <c r="G45" s="549"/>
      <c r="H45" s="623"/>
      <c r="I45" s="564"/>
      <c r="J45" s="549"/>
      <c r="K45" s="623"/>
      <c r="L45" s="572"/>
      <c r="M45" s="572"/>
      <c r="N45" s="572"/>
      <c r="O45" s="572"/>
      <c r="P45" s="572"/>
      <c r="Q45" s="572"/>
      <c r="R45" s="572"/>
      <c r="S45" s="572"/>
    </row>
    <row r="46" spans="1:19" s="573" customFormat="1" ht="52.8" hidden="1" x14ac:dyDescent="0.25">
      <c r="A46" s="583">
        <v>244</v>
      </c>
      <c r="B46" s="561" t="s">
        <v>728</v>
      </c>
      <c r="C46" s="538" t="s">
        <v>726</v>
      </c>
      <c r="D46" s="553" t="s">
        <v>727</v>
      </c>
      <c r="E46" s="538"/>
      <c r="F46" s="563"/>
      <c r="G46" s="544"/>
      <c r="H46" s="621">
        <f>H47</f>
        <v>0</v>
      </c>
      <c r="I46" s="563"/>
      <c r="J46" s="544"/>
      <c r="K46" s="621">
        <f>K47</f>
        <v>0</v>
      </c>
      <c r="L46" s="572"/>
      <c r="M46" s="572"/>
      <c r="N46" s="572"/>
      <c r="O46" s="572"/>
      <c r="P46" s="572"/>
      <c r="Q46" s="572"/>
      <c r="R46" s="572"/>
      <c r="S46" s="572"/>
    </row>
    <row r="47" spans="1:19" s="573" customFormat="1" ht="26.4" hidden="1" x14ac:dyDescent="0.25">
      <c r="A47" s="586"/>
      <c r="B47" s="1065"/>
      <c r="C47" s="534"/>
      <c r="D47" s="485" t="s">
        <v>668</v>
      </c>
      <c r="E47" s="534" t="s">
        <v>718</v>
      </c>
      <c r="F47" s="565"/>
      <c r="G47" s="548"/>
      <c r="H47" s="625"/>
      <c r="I47" s="565"/>
      <c r="J47" s="548"/>
      <c r="K47" s="625"/>
      <c r="L47" s="572"/>
      <c r="M47" s="572"/>
      <c r="N47" s="572"/>
      <c r="O47" s="572"/>
      <c r="P47" s="572"/>
      <c r="Q47" s="572"/>
      <c r="R47" s="572"/>
      <c r="S47" s="572"/>
    </row>
    <row r="48" spans="1:19" s="573" customFormat="1" ht="105" hidden="1" customHeight="1" x14ac:dyDescent="0.25">
      <c r="A48" s="1914">
        <v>244</v>
      </c>
      <c r="B48" s="1914">
        <v>226</v>
      </c>
      <c r="C48" s="1869">
        <v>966</v>
      </c>
      <c r="D48" s="588" t="s">
        <v>226</v>
      </c>
      <c r="E48" s="532"/>
      <c r="F48" s="584"/>
      <c r="G48" s="585"/>
      <c r="H48" s="621">
        <f>H49</f>
        <v>0</v>
      </c>
      <c r="I48" s="584"/>
      <c r="J48" s="585"/>
      <c r="K48" s="621">
        <f>K49</f>
        <v>0</v>
      </c>
      <c r="L48" s="572"/>
      <c r="M48" s="572"/>
      <c r="N48" s="572"/>
      <c r="O48" s="572"/>
      <c r="P48" s="572"/>
      <c r="Q48" s="572"/>
      <c r="R48" s="572"/>
      <c r="S48" s="572"/>
    </row>
    <row r="49" spans="1:19" s="573" customFormat="1" ht="26.4" hidden="1" x14ac:dyDescent="0.25">
      <c r="A49" s="1870"/>
      <c r="B49" s="1870"/>
      <c r="C49" s="1945"/>
      <c r="D49" s="485" t="s">
        <v>668</v>
      </c>
      <c r="E49" s="531" t="s">
        <v>718</v>
      </c>
      <c r="F49" s="565"/>
      <c r="G49" s="548"/>
      <c r="H49" s="625"/>
      <c r="I49" s="565"/>
      <c r="J49" s="548"/>
      <c r="K49" s="625"/>
      <c r="L49" s="572"/>
      <c r="M49" s="572"/>
      <c r="N49" s="572"/>
      <c r="O49" s="572"/>
      <c r="P49" s="572"/>
      <c r="Q49" s="572"/>
      <c r="R49" s="572"/>
      <c r="S49" s="572"/>
    </row>
    <row r="50" spans="1:19" s="573" customFormat="1" hidden="1" x14ac:dyDescent="0.25">
      <c r="A50" s="1068">
        <v>244</v>
      </c>
      <c r="B50" s="1068">
        <v>310</v>
      </c>
      <c r="C50" s="723">
        <v>971</v>
      </c>
      <c r="D50" s="715" t="s">
        <v>747</v>
      </c>
      <c r="E50" s="1082"/>
      <c r="F50" s="725"/>
      <c r="G50" s="546"/>
      <c r="H50" s="623"/>
      <c r="I50" s="564"/>
      <c r="J50" s="546"/>
      <c r="K50" s="623"/>
      <c r="L50" s="572"/>
      <c r="M50" s="572"/>
      <c r="N50" s="572"/>
      <c r="O50" s="572"/>
      <c r="P50" s="572"/>
      <c r="Q50" s="572"/>
      <c r="R50" s="572"/>
      <c r="S50" s="572"/>
    </row>
    <row r="51" spans="1:19" s="573" customFormat="1" ht="26.4" hidden="1" x14ac:dyDescent="0.25">
      <c r="A51" s="1069"/>
      <c r="B51" s="1069"/>
      <c r="C51" s="726"/>
      <c r="D51" s="559" t="s">
        <v>668</v>
      </c>
      <c r="E51" s="1065" t="s">
        <v>718</v>
      </c>
      <c r="F51" s="725"/>
      <c r="G51" s="546"/>
      <c r="H51" s="623"/>
      <c r="I51" s="564"/>
      <c r="J51" s="546"/>
      <c r="K51" s="623"/>
      <c r="L51" s="572"/>
      <c r="M51" s="572"/>
      <c r="N51" s="572"/>
      <c r="O51" s="572"/>
      <c r="P51" s="572"/>
      <c r="Q51" s="572"/>
      <c r="R51" s="572"/>
      <c r="S51" s="572"/>
    </row>
    <row r="52" spans="1:19" s="573" customFormat="1" ht="26.4" hidden="1" x14ac:dyDescent="0.25">
      <c r="A52" s="634">
        <v>244</v>
      </c>
      <c r="B52" s="576">
        <v>346</v>
      </c>
      <c r="C52" s="537" t="s">
        <v>729</v>
      </c>
      <c r="D52" s="553" t="s">
        <v>730</v>
      </c>
      <c r="E52" s="531"/>
      <c r="F52" s="584"/>
      <c r="G52" s="585"/>
      <c r="H52" s="621">
        <f>H53</f>
        <v>0</v>
      </c>
      <c r="I52" s="584"/>
      <c r="J52" s="585"/>
      <c r="K52" s="621">
        <f>K53</f>
        <v>0</v>
      </c>
      <c r="L52" s="572"/>
      <c r="M52" s="572"/>
      <c r="N52" s="572"/>
      <c r="O52" s="572"/>
      <c r="P52" s="572"/>
      <c r="Q52" s="572"/>
      <c r="R52" s="572"/>
      <c r="S52" s="572"/>
    </row>
    <row r="53" spans="1:19" s="573" customFormat="1" ht="26.4" hidden="1" x14ac:dyDescent="0.25">
      <c r="A53" s="586"/>
      <c r="B53" s="1065"/>
      <c r="C53" s="534"/>
      <c r="D53" s="485" t="s">
        <v>668</v>
      </c>
      <c r="E53" s="534" t="s">
        <v>718</v>
      </c>
      <c r="F53" s="565"/>
      <c r="G53" s="548"/>
      <c r="H53" s="625"/>
      <c r="I53" s="565"/>
      <c r="J53" s="548"/>
      <c r="K53" s="625"/>
      <c r="L53" s="572"/>
      <c r="M53" s="572"/>
      <c r="N53" s="572"/>
      <c r="O53" s="572"/>
      <c r="P53" s="572"/>
      <c r="Q53" s="572"/>
      <c r="R53" s="572"/>
      <c r="S53" s="572"/>
    </row>
    <row r="54" spans="1:19" s="492" customFormat="1" x14ac:dyDescent="0.25">
      <c r="A54" s="752"/>
      <c r="B54" s="752"/>
      <c r="C54" s="752"/>
      <c r="D54" s="753" t="s">
        <v>8</v>
      </c>
      <c r="E54" s="754"/>
      <c r="F54" s="755"/>
      <c r="G54" s="756"/>
      <c r="H54" s="756">
        <f>H23+H20+H17+H13+H9</f>
        <v>0</v>
      </c>
      <c r="I54" s="757"/>
      <c r="J54" s="756"/>
      <c r="K54" s="756">
        <f>K23+K20+K17+K13+K9</f>
        <v>0</v>
      </c>
      <c r="L54" s="496"/>
      <c r="M54" s="496"/>
      <c r="N54" s="496"/>
      <c r="O54" s="496"/>
      <c r="P54" s="496"/>
      <c r="Q54" s="496"/>
      <c r="R54" s="496"/>
      <c r="S54" s="496"/>
    </row>
    <row r="55" spans="1:19" s="492" customFormat="1" ht="36.75" customHeight="1" x14ac:dyDescent="0.25">
      <c r="A55" s="493"/>
      <c r="B55" s="493"/>
      <c r="C55" s="493"/>
      <c r="D55" s="552"/>
      <c r="E55" s="494"/>
      <c r="F55" s="562"/>
      <c r="G55" s="542"/>
      <c r="H55" s="619"/>
      <c r="I55" s="496"/>
      <c r="J55" s="496"/>
      <c r="K55" s="645"/>
      <c r="L55" s="496"/>
      <c r="M55" s="496"/>
      <c r="N55" s="496"/>
      <c r="O55" s="496"/>
      <c r="P55" s="496"/>
      <c r="Q55" s="496"/>
      <c r="R55" s="496"/>
      <c r="S55" s="496"/>
    </row>
    <row r="56" spans="1:19" ht="14.25" customHeight="1" x14ac:dyDescent="0.25">
      <c r="E56" s="643"/>
      <c r="H56" s="654">
        <v>0</v>
      </c>
      <c r="I56" s="629"/>
      <c r="J56" s="629"/>
      <c r="K56" s="664">
        <v>0</v>
      </c>
    </row>
    <row r="57" spans="1:19" ht="14.25" customHeight="1" x14ac:dyDescent="0.25">
      <c r="A57" s="1913" t="s">
        <v>128</v>
      </c>
      <c r="B57" s="1913"/>
      <c r="C57" s="1913"/>
      <c r="D57" s="1913"/>
      <c r="E57" s="643"/>
      <c r="H57" s="654">
        <f>H56-H54</f>
        <v>0</v>
      </c>
      <c r="I57" s="654"/>
      <c r="J57" s="654"/>
      <c r="K57" s="654">
        <f t="shared" ref="K57" si="0">K56-K54</f>
        <v>0</v>
      </c>
    </row>
    <row r="58" spans="1:19" x14ac:dyDescent="0.25">
      <c r="A58" s="1913" t="s">
        <v>894</v>
      </c>
      <c r="B58" s="1913"/>
      <c r="C58" s="1913"/>
      <c r="D58" s="1913"/>
    </row>
    <row r="187" spans="24:24" x14ac:dyDescent="0.25">
      <c r="X187">
        <f>V187*W187</f>
        <v>0</v>
      </c>
    </row>
  </sheetData>
  <mergeCells count="29">
    <mergeCell ref="A3:I3"/>
    <mergeCell ref="A1:K1"/>
    <mergeCell ref="A2:K2"/>
    <mergeCell ref="A57:D57"/>
    <mergeCell ref="A58:D58"/>
    <mergeCell ref="A17:E17"/>
    <mergeCell ref="A18:A19"/>
    <mergeCell ref="B18:B19"/>
    <mergeCell ref="C18:C19"/>
    <mergeCell ref="A20:E20"/>
    <mergeCell ref="A23:E23"/>
    <mergeCell ref="A48:A49"/>
    <mergeCell ref="B48:B49"/>
    <mergeCell ref="C48:C49"/>
    <mergeCell ref="A5:A8"/>
    <mergeCell ref="B5:B8"/>
    <mergeCell ref="A9:E9"/>
    <mergeCell ref="A13:E13"/>
    <mergeCell ref="I5:K5"/>
    <mergeCell ref="I6:I8"/>
    <mergeCell ref="J6:J8"/>
    <mergeCell ref="K7:K8"/>
    <mergeCell ref="H7:H8"/>
    <mergeCell ref="C5:C8"/>
    <mergeCell ref="D5:D8"/>
    <mergeCell ref="E5:E8"/>
    <mergeCell ref="F5:H5"/>
    <mergeCell ref="F6:F8"/>
    <mergeCell ref="G6:G8"/>
  </mergeCells>
  <pageMargins left="1.1811023622047245" right="0.70866141732283472" top="0.74803149606299213" bottom="0.74803149606299213" header="0.31496062992125984" footer="0.31496062992125984"/>
  <pageSetup paperSize="9" scale="56" orientation="portrait" r:id="rId1"/>
  <rowBreaks count="1" manualBreakCount="1">
    <brk id="5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pageSetUpPr fitToPage="1"/>
  </sheetPr>
  <dimension ref="A2:N46"/>
  <sheetViews>
    <sheetView view="pageBreakPreview" zoomScale="80" zoomScaleSheetLayoutView="80" workbookViewId="0">
      <pane xSplit="1" ySplit="9" topLeftCell="B10"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59.6640625" style="7" customWidth="1"/>
    <col min="2" max="2" width="11.6640625" style="7" customWidth="1"/>
    <col min="3" max="3" width="14.6640625" style="7" customWidth="1"/>
    <col min="4" max="4" width="14" style="7" customWidth="1"/>
    <col min="5" max="11" width="14.77734375" style="13" customWidth="1"/>
    <col min="12" max="12" width="12.44140625" style="7" customWidth="1"/>
    <col min="13" max="13" width="13.33203125" style="7" customWidth="1"/>
    <col min="14" max="14" width="14.33203125" style="7" customWidth="1"/>
    <col min="15" max="15" width="11.44140625" style="7" bestFit="1" customWidth="1"/>
    <col min="16" max="16384" width="9.33203125" style="7"/>
  </cols>
  <sheetData>
    <row r="2" spans="1:14" x14ac:dyDescent="0.25">
      <c r="A2" s="1513" t="s">
        <v>168</v>
      </c>
      <c r="B2" s="1513"/>
      <c r="C2" s="1513"/>
      <c r="D2" s="1513"/>
      <c r="E2" s="1513"/>
      <c r="F2" s="1513"/>
      <c r="G2" s="1513"/>
      <c r="H2" s="1513"/>
      <c r="I2" s="1513"/>
      <c r="J2" s="1513"/>
      <c r="K2" s="1513"/>
      <c r="L2" s="1513"/>
      <c r="M2" s="1513"/>
      <c r="N2" s="1513"/>
    </row>
    <row r="4" spans="1:14" x14ac:dyDescent="0.25">
      <c r="A4" s="1513" t="s">
        <v>169</v>
      </c>
      <c r="B4" s="1513"/>
      <c r="C4" s="1513"/>
      <c r="D4" s="1513"/>
      <c r="E4" s="1513"/>
      <c r="F4" s="1513"/>
      <c r="G4" s="1513"/>
      <c r="H4" s="1513"/>
      <c r="I4" s="1513"/>
      <c r="J4" s="1513"/>
      <c r="K4" s="1513"/>
      <c r="L4" s="1513"/>
      <c r="M4" s="1513"/>
      <c r="N4" s="1513"/>
    </row>
    <row r="5" spans="1:14" x14ac:dyDescent="0.25">
      <c r="A5" s="275"/>
      <c r="B5" s="275"/>
      <c r="C5" s="275"/>
      <c r="D5" s="275"/>
      <c r="E5" s="275"/>
      <c r="F5" s="275"/>
      <c r="G5" s="275"/>
      <c r="H5" s="275"/>
      <c r="I5" s="275"/>
      <c r="J5" s="275"/>
      <c r="K5" s="275"/>
      <c r="L5" s="275"/>
      <c r="M5" s="275"/>
      <c r="N5" s="275"/>
    </row>
    <row r="6" spans="1:14" x14ac:dyDescent="0.25">
      <c r="A6" s="275"/>
      <c r="B6" s="275"/>
      <c r="C6" s="275"/>
      <c r="D6" s="275"/>
      <c r="E6" s="275"/>
      <c r="F6" s="275"/>
      <c r="G6" s="275"/>
      <c r="H6" s="275"/>
      <c r="I6" s="275"/>
      <c r="J6" s="275"/>
      <c r="K6" s="275"/>
      <c r="L6" s="275"/>
      <c r="M6" s="275"/>
      <c r="N6" s="275"/>
    </row>
    <row r="7" spans="1:14" x14ac:dyDescent="0.25">
      <c r="A7" s="7" t="s">
        <v>170</v>
      </c>
    </row>
    <row r="8" spans="1:14" ht="42.75" customHeight="1" x14ac:dyDescent="0.25">
      <c r="A8" s="1514" t="s">
        <v>95</v>
      </c>
      <c r="B8" s="1515" t="s">
        <v>98</v>
      </c>
      <c r="C8" s="1517" t="s">
        <v>140</v>
      </c>
      <c r="D8" s="1518"/>
      <c r="E8" s="1519"/>
      <c r="F8" s="1517" t="s">
        <v>152</v>
      </c>
      <c r="G8" s="1518"/>
      <c r="H8" s="1519"/>
      <c r="I8" s="1517" t="s">
        <v>165</v>
      </c>
      <c r="J8" s="1518"/>
      <c r="K8" s="1519"/>
      <c r="L8" s="1523" t="s">
        <v>120</v>
      </c>
      <c r="M8" s="1523"/>
      <c r="N8" s="1523"/>
    </row>
    <row r="9" spans="1:14" ht="27.75" customHeight="1" x14ac:dyDescent="0.25">
      <c r="A9" s="1514"/>
      <c r="B9" s="1516"/>
      <c r="C9" s="14">
        <v>991</v>
      </c>
      <c r="D9" s="14">
        <v>992</v>
      </c>
      <c r="E9" s="15">
        <v>911</v>
      </c>
      <c r="F9" s="21">
        <v>991</v>
      </c>
      <c r="G9" s="21">
        <v>992</v>
      </c>
      <c r="H9" s="15">
        <v>911</v>
      </c>
      <c r="I9" s="21">
        <v>991</v>
      </c>
      <c r="J9" s="21">
        <v>992</v>
      </c>
      <c r="K9" s="15">
        <v>911</v>
      </c>
      <c r="L9" s="19">
        <v>991</v>
      </c>
      <c r="M9" s="289">
        <v>992</v>
      </c>
      <c r="N9" s="19">
        <v>911</v>
      </c>
    </row>
    <row r="10" spans="1:14" s="13" customFormat="1" ht="38.25" customHeight="1" x14ac:dyDescent="0.25">
      <c r="A10" s="273" t="s">
        <v>111</v>
      </c>
      <c r="B10" s="8">
        <f>'музей 2020'!C28</f>
        <v>64.5</v>
      </c>
      <c r="C10" s="10">
        <f>'музей 2020'!G34</f>
        <v>39360.400000000001</v>
      </c>
      <c r="D10" s="10">
        <f>'музей 2020'!H34</f>
        <v>11661.7</v>
      </c>
      <c r="E10" s="10">
        <v>897</v>
      </c>
      <c r="F10" s="10"/>
      <c r="G10" s="10"/>
      <c r="H10" s="10"/>
      <c r="I10" s="10">
        <f>'музей 2020'!I34</f>
        <v>39360.400000000001</v>
      </c>
      <c r="J10" s="10">
        <f>'музей 2020'!J34+7.1</f>
        <v>11661.7</v>
      </c>
      <c r="K10" s="10">
        <f>'музей 2020'!AH28</f>
        <v>1677</v>
      </c>
      <c r="L10" s="10">
        <f t="shared" ref="L10:N11" si="0">C10-I10</f>
        <v>0</v>
      </c>
      <c r="M10" s="290">
        <f t="shared" si="0"/>
        <v>0</v>
      </c>
      <c r="N10" s="10">
        <f t="shared" si="0"/>
        <v>-780</v>
      </c>
    </row>
    <row r="11" spans="1:14" s="13" customFormat="1" x14ac:dyDescent="0.25">
      <c r="A11" s="273" t="s">
        <v>112</v>
      </c>
      <c r="B11" s="8">
        <f>'Родина 2020'!C21</f>
        <v>15.5</v>
      </c>
      <c r="C11" s="10">
        <f>'Родина 2020'!G28</f>
        <v>8874.7000000000007</v>
      </c>
      <c r="D11" s="10">
        <f>'Родина 2020'!H28</f>
        <v>2640.7</v>
      </c>
      <c r="E11" s="10">
        <v>546</v>
      </c>
      <c r="F11" s="10"/>
      <c r="G11" s="10"/>
      <c r="H11" s="10"/>
      <c r="I11" s="10">
        <f>'Родина 2020'!I28</f>
        <v>8874.7000000000007</v>
      </c>
      <c r="J11" s="10">
        <f>'Родина 2020'!J28+4.9</f>
        <v>2640.7</v>
      </c>
      <c r="K11" s="10">
        <f>'Родина 2020'!AH21</f>
        <v>253.5</v>
      </c>
      <c r="L11" s="10">
        <f t="shared" si="0"/>
        <v>0</v>
      </c>
      <c r="M11" s="290">
        <f t="shared" si="0"/>
        <v>0</v>
      </c>
      <c r="N11" s="10">
        <f t="shared" si="0"/>
        <v>292.5</v>
      </c>
    </row>
    <row r="12" spans="1:14" s="13" customFormat="1" x14ac:dyDescent="0.25">
      <c r="A12" s="273" t="s">
        <v>133</v>
      </c>
      <c r="B12" s="9" t="e">
        <f>#REF!</f>
        <v>#REF!</v>
      </c>
      <c r="C12" s="10" t="e">
        <f>#REF!</f>
        <v>#REF!</v>
      </c>
      <c r="D12" s="10" t="e">
        <f>#REF!</f>
        <v>#REF!</v>
      </c>
      <c r="E12" s="10">
        <v>3224</v>
      </c>
      <c r="F12" s="10" t="e">
        <f>#REF!</f>
        <v>#REF!</v>
      </c>
      <c r="G12" s="10" t="e">
        <f>#REF!</f>
        <v>#REF!</v>
      </c>
      <c r="H12" s="10"/>
      <c r="I12" s="10" t="e">
        <f>#REF!</f>
        <v>#REF!</v>
      </c>
      <c r="J12" s="10" t="e">
        <f>#REF!+39.9</f>
        <v>#REF!</v>
      </c>
      <c r="K12" s="10" t="e">
        <f>#REF!</f>
        <v>#REF!</v>
      </c>
      <c r="L12" s="10" t="e">
        <f t="shared" ref="L12:M14" si="1">C12-I12-F12</f>
        <v>#REF!</v>
      </c>
      <c r="M12" s="290" t="e">
        <f t="shared" si="1"/>
        <v>#REF!</v>
      </c>
      <c r="N12" s="10" t="e">
        <f>E12-K12-H12</f>
        <v>#REF!</v>
      </c>
    </row>
    <row r="13" spans="1:14" s="13" customFormat="1" x14ac:dyDescent="0.25">
      <c r="A13" s="273" t="s">
        <v>113</v>
      </c>
      <c r="B13" s="9">
        <f>'ГЦК+Энергия 2020'!C52</f>
        <v>59.75</v>
      </c>
      <c r="C13" s="10">
        <f>'ГЦК+Энергия 2020'!G57</f>
        <v>46179.199999999997</v>
      </c>
      <c r="D13" s="10">
        <f>'ГЦК+Энергия 2020'!H57</f>
        <v>13446.9</v>
      </c>
      <c r="E13" s="10">
        <v>1351.3</v>
      </c>
      <c r="F13" s="10">
        <f>'ГЦК+Энергия 2020'!I57</f>
        <v>678.3</v>
      </c>
      <c r="G13" s="10">
        <f>'ГЦК+Энергия 2020'!J57</f>
        <v>204.8</v>
      </c>
      <c r="H13" s="10"/>
      <c r="I13" s="10">
        <f>'ГЦК+Энергия 2020'!K57</f>
        <v>45500.9</v>
      </c>
      <c r="J13" s="10">
        <f>'ГЦК+Энергия 2020'!L57-106.6</f>
        <v>13242.1</v>
      </c>
      <c r="K13" s="10">
        <f>'ГЦК+Энергия 2020'!AH52</f>
        <v>1924</v>
      </c>
      <c r="L13" s="10">
        <f t="shared" si="1"/>
        <v>0</v>
      </c>
      <c r="M13" s="290">
        <f t="shared" si="1"/>
        <v>0</v>
      </c>
      <c r="N13" s="10">
        <f>E13-K13-H13</f>
        <v>-572.70000000000005</v>
      </c>
    </row>
    <row r="14" spans="1:14" s="13" customFormat="1" ht="19.5" customHeight="1" x14ac:dyDescent="0.25">
      <c r="A14" s="273" t="s">
        <v>114</v>
      </c>
      <c r="B14" s="9">
        <f>'Юбилейный 2020'!C25</f>
        <v>19</v>
      </c>
      <c r="C14" s="10">
        <f>'Юбилейный 2020'!G31</f>
        <v>14722.5</v>
      </c>
      <c r="D14" s="10">
        <f>'Юбилейный 2020'!H31</f>
        <v>4245.1000000000004</v>
      </c>
      <c r="E14" s="10">
        <v>429</v>
      </c>
      <c r="F14" s="10"/>
      <c r="G14" s="10"/>
      <c r="H14" s="10"/>
      <c r="I14" s="10">
        <f>'Юбилейный 2020'!I31</f>
        <v>14722.5</v>
      </c>
      <c r="J14" s="10">
        <f>'Юбилейный 2020'!J31-60.5</f>
        <v>4245.1000000000004</v>
      </c>
      <c r="K14" s="10">
        <f>'Юбилейный 2020'!AH25</f>
        <v>370.5</v>
      </c>
      <c r="L14" s="10">
        <f t="shared" si="1"/>
        <v>0</v>
      </c>
      <c r="M14" s="290">
        <f t="shared" si="1"/>
        <v>0</v>
      </c>
      <c r="N14" s="10">
        <f>E14-K14-H14</f>
        <v>58.5</v>
      </c>
    </row>
    <row r="15" spans="1:14" s="13" customFormat="1" ht="32.25" customHeight="1" x14ac:dyDescent="0.25">
      <c r="A15" s="273" t="s">
        <v>115</v>
      </c>
      <c r="B15" s="9">
        <f>'Высоцкий 2020'!C28</f>
        <v>25</v>
      </c>
      <c r="C15" s="10">
        <f>'Высоцкий 2020'!G33</f>
        <v>18394</v>
      </c>
      <c r="D15" s="10">
        <f>'Высоцкий 2020'!H33</f>
        <v>5393.9</v>
      </c>
      <c r="E15" s="10">
        <v>799.5</v>
      </c>
      <c r="F15" s="10"/>
      <c r="G15" s="10"/>
      <c r="H15" s="10"/>
      <c r="I15" s="10">
        <f>'Высоцкий 2020'!I33</f>
        <v>18394</v>
      </c>
      <c r="J15" s="10">
        <f>'Высоцкий 2020'!J33-6.9</f>
        <v>5393.9</v>
      </c>
      <c r="K15" s="10">
        <f>'Высоцкий 2020'!AH28</f>
        <v>448.5</v>
      </c>
      <c r="L15" s="10">
        <f>C15-I15</f>
        <v>0</v>
      </c>
      <c r="M15" s="290">
        <f>D15-J15</f>
        <v>0</v>
      </c>
      <c r="N15" s="10">
        <f>E15-K15</f>
        <v>351</v>
      </c>
    </row>
    <row r="16" spans="1:14" x14ac:dyDescent="0.25">
      <c r="A16" s="16" t="s">
        <v>99</v>
      </c>
      <c r="B16" s="17" t="e">
        <f>SUM(B10:B15)</f>
        <v>#REF!</v>
      </c>
      <c r="C16" s="18" t="e">
        <f t="shared" ref="C16:N16" si="2">SUM(C10:C15)</f>
        <v>#REF!</v>
      </c>
      <c r="D16" s="18" t="e">
        <f t="shared" si="2"/>
        <v>#REF!</v>
      </c>
      <c r="E16" s="18">
        <f t="shared" si="2"/>
        <v>7246.8</v>
      </c>
      <c r="F16" s="18" t="e">
        <f t="shared" si="2"/>
        <v>#REF!</v>
      </c>
      <c r="G16" s="18" t="e">
        <f t="shared" si="2"/>
        <v>#REF!</v>
      </c>
      <c r="H16" s="18">
        <f t="shared" si="2"/>
        <v>0</v>
      </c>
      <c r="I16" s="18" t="e">
        <f t="shared" si="2"/>
        <v>#REF!</v>
      </c>
      <c r="J16" s="18" t="e">
        <f t="shared" si="2"/>
        <v>#REF!</v>
      </c>
      <c r="K16" s="18" t="e">
        <f t="shared" si="2"/>
        <v>#REF!</v>
      </c>
      <c r="L16" s="18" t="e">
        <f t="shared" si="2"/>
        <v>#REF!</v>
      </c>
      <c r="M16" s="18" t="e">
        <f t="shared" si="2"/>
        <v>#REF!</v>
      </c>
      <c r="N16" s="18" t="e">
        <f t="shared" si="2"/>
        <v>#REF!</v>
      </c>
    </row>
    <row r="17" spans="1:14" x14ac:dyDescent="0.25">
      <c r="C17" s="11"/>
      <c r="D17" s="11"/>
      <c r="E17" s="12"/>
      <c r="F17" s="12"/>
      <c r="G17" s="12"/>
      <c r="H17" s="12"/>
      <c r="I17" s="12"/>
      <c r="J17" s="12"/>
      <c r="K17" s="12"/>
    </row>
    <row r="18" spans="1:14" x14ac:dyDescent="0.25">
      <c r="L18" s="1513" t="s">
        <v>171</v>
      </c>
      <c r="M18" s="1513"/>
      <c r="N18" s="1513"/>
    </row>
    <row r="19" spans="1:14" s="20" customFormat="1" ht="21" x14ac:dyDescent="0.4">
      <c r="A19" s="1" t="s">
        <v>138</v>
      </c>
      <c r="C19" s="2"/>
      <c r="D19" s="6" t="s">
        <v>166</v>
      </c>
      <c r="E19" s="3"/>
      <c r="F19" s="4"/>
      <c r="G19" s="4"/>
      <c r="H19" s="5"/>
      <c r="I19" s="5"/>
      <c r="J19" s="4"/>
    </row>
    <row r="21" spans="1:14" x14ac:dyDescent="0.25">
      <c r="A21" s="7" t="s">
        <v>151</v>
      </c>
    </row>
    <row r="22" spans="1:14" s="11" customFormat="1" x14ac:dyDescent="0.25">
      <c r="D22" s="11" t="e">
        <f>D16-G16</f>
        <v>#REF!</v>
      </c>
      <c r="E22" s="12"/>
      <c r="F22" s="12"/>
      <c r="G22" s="12"/>
      <c r="H22" s="12"/>
      <c r="I22" s="12"/>
      <c r="J22" s="12"/>
      <c r="K22" s="12"/>
    </row>
    <row r="23" spans="1:14" s="11" customFormat="1" x14ac:dyDescent="0.25">
      <c r="E23" s="12"/>
      <c r="F23" s="12"/>
      <c r="G23" s="12"/>
      <c r="H23" s="12"/>
      <c r="I23" s="12"/>
      <c r="J23" s="12"/>
      <c r="K23" s="12"/>
    </row>
    <row r="24" spans="1:14" s="11" customFormat="1" x14ac:dyDescent="0.25">
      <c r="E24" s="12"/>
      <c r="F24" s="12"/>
      <c r="G24" s="12"/>
      <c r="H24" s="12"/>
      <c r="I24" s="12"/>
      <c r="J24" s="12"/>
      <c r="K24" s="12"/>
    </row>
    <row r="25" spans="1:14" s="11" customFormat="1" x14ac:dyDescent="0.25">
      <c r="E25" s="12"/>
      <c r="F25" s="12"/>
      <c r="G25" s="12"/>
      <c r="H25" s="12"/>
      <c r="I25" s="12"/>
      <c r="J25" s="12"/>
      <c r="K25" s="12"/>
    </row>
    <row r="26" spans="1:14" s="11" customFormat="1" x14ac:dyDescent="0.25">
      <c r="E26" s="12"/>
      <c r="F26" s="12"/>
      <c r="G26" s="12"/>
      <c r="H26" s="12"/>
      <c r="I26" s="12"/>
      <c r="J26" s="12"/>
      <c r="K26" s="12"/>
    </row>
    <row r="27" spans="1:14" s="11" customFormat="1" x14ac:dyDescent="0.25">
      <c r="E27" s="12"/>
      <c r="F27" s="12"/>
      <c r="G27" s="12"/>
      <c r="H27" s="12"/>
      <c r="I27" s="12"/>
      <c r="J27" s="12"/>
      <c r="K27" s="12"/>
    </row>
    <row r="28" spans="1:14" s="11" customFormat="1" x14ac:dyDescent="0.25">
      <c r="E28" s="12"/>
      <c r="F28" s="12"/>
      <c r="G28" s="12"/>
      <c r="H28" s="12"/>
      <c r="I28" s="12"/>
      <c r="J28" s="12"/>
      <c r="K28" s="12"/>
    </row>
    <row r="29" spans="1:14" s="11" customFormat="1" x14ac:dyDescent="0.25">
      <c r="E29" s="12"/>
      <c r="F29" s="12"/>
      <c r="G29" s="12"/>
      <c r="H29" s="12"/>
      <c r="I29" s="12"/>
      <c r="J29" s="12"/>
      <c r="K29" s="12"/>
    </row>
    <row r="30" spans="1:14" s="11" customFormat="1" x14ac:dyDescent="0.25">
      <c r="E30" s="12"/>
      <c r="F30" s="12"/>
      <c r="G30" s="12"/>
      <c r="H30" s="12"/>
      <c r="I30" s="12"/>
      <c r="J30" s="12"/>
      <c r="K30" s="12"/>
    </row>
    <row r="31" spans="1:14" s="11" customFormat="1" x14ac:dyDescent="0.25">
      <c r="E31" s="12"/>
      <c r="F31" s="12"/>
      <c r="G31" s="12"/>
      <c r="H31" s="12"/>
      <c r="I31" s="12"/>
      <c r="J31" s="12"/>
      <c r="K31" s="12"/>
    </row>
    <row r="32" spans="1:14" s="11" customFormat="1" x14ac:dyDescent="0.25">
      <c r="E32" s="12"/>
      <c r="F32" s="12"/>
      <c r="G32" s="12"/>
      <c r="H32" s="12"/>
      <c r="I32" s="12"/>
      <c r="J32" s="12"/>
      <c r="K32" s="12"/>
    </row>
    <row r="33" spans="5:11" s="11" customFormat="1" x14ac:dyDescent="0.25">
      <c r="E33" s="12"/>
      <c r="F33" s="12"/>
      <c r="G33" s="12"/>
      <c r="H33" s="12"/>
      <c r="I33" s="12"/>
      <c r="J33" s="12"/>
      <c r="K33" s="12"/>
    </row>
    <row r="34" spans="5:11" s="11" customFormat="1" x14ac:dyDescent="0.25">
      <c r="E34" s="12"/>
      <c r="F34" s="12"/>
      <c r="G34" s="12"/>
      <c r="H34" s="12"/>
      <c r="I34" s="12"/>
      <c r="J34" s="12"/>
      <c r="K34" s="12"/>
    </row>
    <row r="35" spans="5:11" s="11" customFormat="1" x14ac:dyDescent="0.25">
      <c r="E35" s="12"/>
      <c r="F35" s="12"/>
      <c r="G35" s="12"/>
      <c r="H35" s="12"/>
      <c r="I35" s="12"/>
      <c r="J35" s="12"/>
      <c r="K35" s="12"/>
    </row>
    <row r="36" spans="5:11" s="11" customFormat="1" x14ac:dyDescent="0.25">
      <c r="E36" s="12"/>
      <c r="F36" s="12"/>
      <c r="G36" s="12"/>
      <c r="H36" s="12"/>
      <c r="I36" s="12"/>
      <c r="J36" s="12"/>
      <c r="K36" s="12"/>
    </row>
    <row r="37" spans="5:11" s="11" customFormat="1" x14ac:dyDescent="0.25">
      <c r="E37" s="12"/>
      <c r="F37" s="12"/>
      <c r="G37" s="12"/>
      <c r="H37" s="12"/>
      <c r="I37" s="12"/>
      <c r="J37" s="12"/>
      <c r="K37" s="12"/>
    </row>
    <row r="38" spans="5:11" s="11" customFormat="1" x14ac:dyDescent="0.25">
      <c r="E38" s="12"/>
      <c r="F38" s="12"/>
      <c r="G38" s="12"/>
      <c r="H38" s="12"/>
      <c r="I38" s="12"/>
      <c r="J38" s="12"/>
      <c r="K38" s="12"/>
    </row>
    <row r="39" spans="5:11" s="11" customFormat="1" x14ac:dyDescent="0.25">
      <c r="E39" s="12"/>
      <c r="F39" s="12"/>
      <c r="G39" s="12"/>
      <c r="H39" s="12"/>
      <c r="I39" s="12"/>
      <c r="J39" s="12"/>
      <c r="K39" s="12"/>
    </row>
    <row r="40" spans="5:11" s="11" customFormat="1" x14ac:dyDescent="0.25">
      <c r="E40" s="12"/>
      <c r="F40" s="12"/>
      <c r="G40" s="12"/>
      <c r="H40" s="12"/>
      <c r="I40" s="12"/>
      <c r="J40" s="12"/>
      <c r="K40" s="12"/>
    </row>
    <row r="41" spans="5:11" s="11" customFormat="1" x14ac:dyDescent="0.25">
      <c r="E41" s="12"/>
      <c r="F41" s="12"/>
      <c r="G41" s="12"/>
      <c r="H41" s="12"/>
      <c r="I41" s="12"/>
      <c r="J41" s="12"/>
      <c r="K41" s="12"/>
    </row>
    <row r="42" spans="5:11" s="11" customFormat="1" x14ac:dyDescent="0.25">
      <c r="E42" s="12"/>
      <c r="F42" s="12"/>
      <c r="G42" s="12"/>
      <c r="H42" s="12"/>
      <c r="I42" s="12"/>
      <c r="J42" s="12"/>
      <c r="K42" s="12"/>
    </row>
    <row r="43" spans="5:11" s="11" customFormat="1" x14ac:dyDescent="0.25">
      <c r="E43" s="12"/>
      <c r="F43" s="12"/>
      <c r="G43" s="12"/>
      <c r="H43" s="12"/>
      <c r="I43" s="12"/>
      <c r="J43" s="12"/>
      <c r="K43" s="12"/>
    </row>
    <row r="44" spans="5:11" s="11" customFormat="1" x14ac:dyDescent="0.25">
      <c r="E44" s="12"/>
      <c r="F44" s="12"/>
      <c r="G44" s="12"/>
      <c r="H44" s="12"/>
      <c r="I44" s="12"/>
      <c r="J44" s="12"/>
      <c r="K44" s="12"/>
    </row>
    <row r="45" spans="5:11" s="11" customFormat="1" x14ac:dyDescent="0.25">
      <c r="E45" s="12"/>
      <c r="F45" s="12"/>
      <c r="G45" s="12"/>
      <c r="H45" s="12"/>
      <c r="I45" s="12"/>
      <c r="J45" s="12"/>
      <c r="K45" s="12"/>
    </row>
    <row r="46" spans="5:11" s="11" customFormat="1" x14ac:dyDescent="0.25">
      <c r="E46" s="12"/>
      <c r="F46" s="12"/>
      <c r="G46" s="12"/>
      <c r="H46" s="12"/>
      <c r="I46" s="12"/>
      <c r="J46" s="12"/>
      <c r="K46" s="12"/>
    </row>
  </sheetData>
  <mergeCells count="9">
    <mergeCell ref="L18:N18"/>
    <mergeCell ref="A2:N2"/>
    <mergeCell ref="A4:N4"/>
    <mergeCell ref="L8:N8"/>
    <mergeCell ref="A8:A9"/>
    <mergeCell ref="B8:B9"/>
    <mergeCell ref="C8:E8"/>
    <mergeCell ref="F8:H8"/>
    <mergeCell ref="I8:K8"/>
  </mergeCells>
  <pageMargins left="0.19685039370078741" right="0.19685039370078741" top="0.74803149606299213" bottom="0.74803149606299213" header="0.31496062992125984" footer="0.31496062992125984"/>
  <pageSetup paperSize="9" scale="66" orientation="landscape"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S105"/>
  <sheetViews>
    <sheetView view="pageBreakPreview" zoomScale="80" zoomScaleNormal="80" zoomScaleSheetLayoutView="80" workbookViewId="0">
      <pane xSplit="3" ySplit="8" topLeftCell="P45"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7.77734375" style="33" customWidth="1"/>
    <col min="2" max="2" width="30.77734375" style="22" customWidth="1"/>
    <col min="3" max="3" width="13.77734375" style="22" customWidth="1"/>
    <col min="4" max="4" width="14" style="22" customWidth="1"/>
    <col min="5" max="5" width="13" style="22" customWidth="1"/>
    <col min="6" max="6" width="14.6640625" style="22" customWidth="1"/>
    <col min="7" max="7" width="12.77734375" style="22" customWidth="1"/>
    <col min="8" max="8" width="15.77734375" style="22" customWidth="1"/>
    <col min="9" max="9" width="13.44140625" style="22" customWidth="1"/>
    <col min="10" max="10" width="16.77734375" style="22" customWidth="1"/>
    <col min="11" max="11" width="13.44140625" style="22" customWidth="1"/>
    <col min="12" max="12" width="13.33203125" style="22" customWidth="1"/>
    <col min="13" max="13" width="14" style="22" customWidth="1"/>
    <col min="14" max="14" width="11.44140625" style="22" customWidth="1"/>
    <col min="15" max="15" width="11.6640625" style="22" customWidth="1"/>
    <col min="16" max="16" width="13.33203125" style="22" customWidth="1"/>
    <col min="17" max="17" width="11.44140625" style="22" customWidth="1"/>
    <col min="18" max="18" width="13" style="22" customWidth="1"/>
    <col min="19" max="19" width="15.44140625" style="22" customWidth="1"/>
    <col min="20" max="20" width="12.33203125" style="22" customWidth="1"/>
    <col min="21" max="21" width="11.6640625" style="22" customWidth="1"/>
    <col min="22" max="22" width="14.44140625" style="22" customWidth="1"/>
    <col min="23" max="23" width="16" style="22" customWidth="1"/>
    <col min="24" max="24" width="14.109375" style="22" customWidth="1"/>
    <col min="25" max="25" width="11.109375" style="22" customWidth="1"/>
    <col min="26" max="26" width="9.77734375" style="22" customWidth="1"/>
    <col min="27" max="30" width="8.44140625" style="22" customWidth="1"/>
    <col min="31" max="31" width="15.109375" style="22" bestFit="1" customWidth="1"/>
    <col min="32" max="32" width="9.6640625" style="22" customWidth="1"/>
    <col min="33" max="33" width="9.33203125" style="22" customWidth="1"/>
    <col min="34" max="34" width="13.44140625" style="22" customWidth="1"/>
    <col min="35" max="35" width="14.44140625" style="34" customWidth="1"/>
    <col min="36" max="36" width="9.33203125" style="22"/>
    <col min="37" max="37" width="12.6640625" style="211" customWidth="1"/>
    <col min="38" max="38" width="11.6640625" style="211" hidden="1" customWidth="1"/>
    <col min="39" max="39" width="13" style="211" hidden="1" customWidth="1"/>
    <col min="40" max="40" width="14.109375" style="211" bestFit="1" customWidth="1"/>
    <col min="41" max="41" width="9.44140625" style="211" bestFit="1" customWidth="1"/>
    <col min="42" max="43" width="14.109375" style="211" bestFit="1" customWidth="1"/>
    <col min="44" max="45" width="9.44140625" style="22" bestFit="1" customWidth="1"/>
    <col min="46" max="16384" width="9.33203125" style="22"/>
  </cols>
  <sheetData>
    <row r="1" spans="1:45" ht="18" customHeight="1" x14ac:dyDescent="0.25">
      <c r="AE1" s="1534"/>
      <c r="AF1" s="1534"/>
      <c r="AG1" s="1534"/>
      <c r="AH1" s="1534"/>
    </row>
    <row r="2" spans="1:45" ht="24" customHeight="1" x14ac:dyDescent="0.25">
      <c r="A2" s="1535" t="s">
        <v>146</v>
      </c>
      <c r="B2" s="1535"/>
      <c r="C2" s="1535"/>
      <c r="D2" s="1535"/>
      <c r="E2" s="1535"/>
      <c r="F2" s="1535"/>
      <c r="G2" s="1535"/>
      <c r="H2" s="1535"/>
      <c r="I2" s="1535"/>
      <c r="J2" s="1535"/>
      <c r="K2" s="1535"/>
      <c r="L2" s="1535"/>
      <c r="M2" s="1535"/>
      <c r="N2" s="1535"/>
      <c r="O2" s="1535"/>
      <c r="P2" s="1535"/>
      <c r="Q2" s="1535"/>
      <c r="R2" s="1535"/>
      <c r="S2" s="1535"/>
      <c r="T2" s="1535"/>
      <c r="U2" s="1535"/>
      <c r="V2" s="1535"/>
      <c r="W2" s="1535"/>
      <c r="X2" s="1535"/>
      <c r="Y2" s="1535"/>
      <c r="Z2" s="1535"/>
      <c r="AA2" s="1535"/>
      <c r="AB2" s="1535"/>
      <c r="AC2" s="1535"/>
      <c r="AD2" s="1535"/>
      <c r="AE2" s="1535"/>
      <c r="AF2" s="1535"/>
      <c r="AG2" s="1535"/>
      <c r="AH2" s="1535"/>
      <c r="AI2" s="36"/>
    </row>
    <row r="3" spans="1:45" ht="24.75" customHeight="1" x14ac:dyDescent="0.25">
      <c r="A3" s="1536"/>
      <c r="B3" s="1536"/>
      <c r="C3" s="1536"/>
      <c r="D3" s="1536"/>
      <c r="E3" s="1536"/>
      <c r="F3" s="1536"/>
      <c r="G3" s="1536"/>
      <c r="H3" s="1536"/>
      <c r="I3" s="1536"/>
      <c r="J3" s="1536"/>
      <c r="K3" s="1536"/>
      <c r="L3" s="1536"/>
      <c r="M3" s="1536"/>
      <c r="N3" s="1536"/>
      <c r="O3" s="1536"/>
      <c r="P3" s="1536"/>
      <c r="Q3" s="1536"/>
      <c r="R3" s="1536"/>
      <c r="S3" s="1536"/>
      <c r="T3" s="1536"/>
      <c r="U3" s="1536"/>
      <c r="V3" s="1536"/>
      <c r="W3" s="1536"/>
      <c r="X3" s="1536"/>
      <c r="Y3" s="1536"/>
      <c r="Z3" s="1536"/>
      <c r="AA3" s="1536"/>
      <c r="AB3" s="1536"/>
      <c r="AC3" s="1536"/>
      <c r="AD3" s="1536"/>
      <c r="AE3" s="1536"/>
      <c r="AF3" s="1536"/>
      <c r="AG3" s="1536"/>
      <c r="AH3" s="1536"/>
      <c r="AI3" s="37"/>
    </row>
    <row r="4" spans="1:45" x14ac:dyDescent="0.25">
      <c r="L4" s="38">
        <v>0.33837499999999998</v>
      </c>
      <c r="V4" s="39"/>
      <c r="W4" s="39"/>
    </row>
    <row r="5" spans="1:45" ht="38.25" customHeight="1" x14ac:dyDescent="0.25">
      <c r="A5" s="1537" t="s">
        <v>78</v>
      </c>
      <c r="B5" s="1537" t="s">
        <v>77</v>
      </c>
      <c r="C5" s="1538" t="s">
        <v>0</v>
      </c>
      <c r="D5" s="1538" t="s">
        <v>3</v>
      </c>
      <c r="E5" s="1538"/>
      <c r="F5" s="1538"/>
      <c r="G5" s="1538"/>
      <c r="H5" s="1538"/>
      <c r="I5" s="1538"/>
      <c r="J5" s="1538"/>
      <c r="K5" s="1538"/>
      <c r="L5" s="1538"/>
      <c r="M5" s="1538"/>
      <c r="N5" s="1538"/>
      <c r="O5" s="1538"/>
      <c r="P5" s="1538"/>
      <c r="Q5" s="1538"/>
      <c r="R5" s="1538"/>
      <c r="S5" s="1538"/>
      <c r="T5" s="1538"/>
      <c r="U5" s="1538"/>
      <c r="V5" s="1538"/>
      <c r="W5" s="1538"/>
      <c r="X5" s="1538" t="s">
        <v>4</v>
      </c>
      <c r="Y5" s="1538"/>
      <c r="Z5" s="1538"/>
      <c r="AA5" s="1538"/>
      <c r="AB5" s="1538"/>
      <c r="AC5" s="1538"/>
      <c r="AD5" s="1538"/>
      <c r="AE5" s="1538"/>
      <c r="AF5" s="1538"/>
      <c r="AG5" s="1538"/>
      <c r="AH5" s="1538"/>
    </row>
    <row r="6" spans="1:45" ht="60" customHeight="1" x14ac:dyDescent="0.25">
      <c r="A6" s="1537"/>
      <c r="B6" s="1537"/>
      <c r="C6" s="1538"/>
      <c r="D6" s="1530" t="s">
        <v>68</v>
      </c>
      <c r="E6" s="1530" t="s">
        <v>69</v>
      </c>
      <c r="F6" s="1530" t="s">
        <v>89</v>
      </c>
      <c r="G6" s="1530" t="s">
        <v>1</v>
      </c>
      <c r="H6" s="1530" t="s">
        <v>2</v>
      </c>
      <c r="I6" s="1530" t="s">
        <v>70</v>
      </c>
      <c r="J6" s="1530" t="s">
        <v>61</v>
      </c>
      <c r="K6" s="1530" t="s">
        <v>27</v>
      </c>
      <c r="L6" s="1533" t="s">
        <v>65</v>
      </c>
      <c r="M6" s="1533" t="s">
        <v>93</v>
      </c>
      <c r="N6" s="1539" t="s">
        <v>91</v>
      </c>
      <c r="O6" s="1539"/>
      <c r="P6" s="1539" t="s">
        <v>88</v>
      </c>
      <c r="Q6" s="1533" t="s">
        <v>82</v>
      </c>
      <c r="R6" s="1530" t="s">
        <v>83</v>
      </c>
      <c r="S6" s="1533" t="s">
        <v>87</v>
      </c>
      <c r="T6" s="1530" t="s">
        <v>84</v>
      </c>
      <c r="U6" s="1530" t="s">
        <v>9</v>
      </c>
      <c r="V6" s="1530" t="s">
        <v>7</v>
      </c>
      <c r="W6" s="1530" t="s">
        <v>85</v>
      </c>
      <c r="X6" s="1538" t="s">
        <v>10</v>
      </c>
      <c r="Y6" s="1538"/>
      <c r="Z6" s="1538"/>
      <c r="AA6" s="1538" t="s">
        <v>11</v>
      </c>
      <c r="AB6" s="1538"/>
      <c r="AC6" s="1538"/>
      <c r="AD6" s="1538" t="s">
        <v>12</v>
      </c>
      <c r="AE6" s="1538"/>
      <c r="AF6" s="1538"/>
      <c r="AG6" s="1538" t="s">
        <v>13</v>
      </c>
      <c r="AH6" s="1538" t="s">
        <v>73</v>
      </c>
    </row>
    <row r="7" spans="1:45" ht="97.5" customHeight="1" x14ac:dyDescent="0.25">
      <c r="A7" s="1537"/>
      <c r="B7" s="1537"/>
      <c r="C7" s="1538"/>
      <c r="D7" s="1530"/>
      <c r="E7" s="1530"/>
      <c r="F7" s="1530"/>
      <c r="G7" s="1530"/>
      <c r="H7" s="1530"/>
      <c r="I7" s="1530"/>
      <c r="J7" s="1530"/>
      <c r="K7" s="1530"/>
      <c r="L7" s="1533" t="s">
        <v>66</v>
      </c>
      <c r="M7" s="1533"/>
      <c r="N7" s="41" t="s">
        <v>80</v>
      </c>
      <c r="O7" s="41" t="s">
        <v>81</v>
      </c>
      <c r="P7" s="1539"/>
      <c r="Q7" s="1533"/>
      <c r="R7" s="1530"/>
      <c r="S7" s="1533" t="s">
        <v>67</v>
      </c>
      <c r="T7" s="1530"/>
      <c r="U7" s="1530"/>
      <c r="V7" s="1530"/>
      <c r="W7" s="1530"/>
      <c r="X7" s="42" t="s">
        <v>5</v>
      </c>
      <c r="Y7" s="42" t="s">
        <v>6</v>
      </c>
      <c r="Z7" s="42" t="s">
        <v>74</v>
      </c>
      <c r="AA7" s="42" t="s">
        <v>5</v>
      </c>
      <c r="AB7" s="42" t="s">
        <v>6</v>
      </c>
      <c r="AC7" s="42" t="s">
        <v>75</v>
      </c>
      <c r="AD7" s="42" t="s">
        <v>5</v>
      </c>
      <c r="AE7" s="42" t="s">
        <v>6</v>
      </c>
      <c r="AF7" s="42" t="s">
        <v>76</v>
      </c>
      <c r="AG7" s="1538"/>
      <c r="AH7" s="1538"/>
      <c r="AK7" s="211" t="s">
        <v>64</v>
      </c>
      <c r="AL7" s="211" t="s">
        <v>62</v>
      </c>
      <c r="AM7" s="70" t="s">
        <v>71</v>
      </c>
    </row>
    <row r="8" spans="1:45" x14ac:dyDescent="0.25">
      <c r="A8" s="23">
        <v>1</v>
      </c>
      <c r="B8" s="23">
        <v>2</v>
      </c>
      <c r="C8" s="23">
        <v>3</v>
      </c>
      <c r="D8" s="23">
        <v>4</v>
      </c>
      <c r="E8" s="23">
        <v>5</v>
      </c>
      <c r="F8" s="23">
        <v>6</v>
      </c>
      <c r="G8" s="23">
        <v>7</v>
      </c>
      <c r="H8" s="23">
        <v>8</v>
      </c>
      <c r="I8" s="23">
        <v>9</v>
      </c>
      <c r="J8" s="23">
        <v>10</v>
      </c>
      <c r="K8" s="23">
        <v>11</v>
      </c>
      <c r="L8" s="23">
        <v>12</v>
      </c>
      <c r="M8" s="23">
        <v>13</v>
      </c>
      <c r="N8" s="23">
        <v>14</v>
      </c>
      <c r="O8" s="23">
        <v>15</v>
      </c>
      <c r="P8" s="23">
        <v>16</v>
      </c>
      <c r="Q8" s="23">
        <v>17</v>
      </c>
      <c r="R8" s="23">
        <v>18</v>
      </c>
      <c r="S8" s="23">
        <v>19</v>
      </c>
      <c r="T8" s="23">
        <v>20</v>
      </c>
      <c r="U8" s="23">
        <v>21</v>
      </c>
      <c r="V8" s="23">
        <v>22</v>
      </c>
      <c r="W8" s="277">
        <v>23</v>
      </c>
      <c r="X8" s="23">
        <v>24</v>
      </c>
      <c r="Y8" s="23">
        <v>25</v>
      </c>
      <c r="Z8" s="23">
        <v>26</v>
      </c>
      <c r="AA8" s="23">
        <v>27</v>
      </c>
      <c r="AB8" s="23">
        <v>28</v>
      </c>
      <c r="AC8" s="23">
        <v>29</v>
      </c>
      <c r="AD8" s="23">
        <v>30</v>
      </c>
      <c r="AE8" s="23">
        <v>31</v>
      </c>
      <c r="AF8" s="23">
        <v>32</v>
      </c>
      <c r="AG8" s="23">
        <v>33</v>
      </c>
      <c r="AH8" s="23">
        <v>34</v>
      </c>
      <c r="AN8" s="212" t="s">
        <v>116</v>
      </c>
      <c r="AO8" s="212" t="s">
        <v>117</v>
      </c>
      <c r="AP8" s="212" t="s">
        <v>118</v>
      </c>
      <c r="AQ8" s="212" t="s">
        <v>119</v>
      </c>
    </row>
    <row r="9" spans="1:45" ht="16.5" customHeight="1" x14ac:dyDescent="0.25">
      <c r="A9" s="276">
        <v>1</v>
      </c>
      <c r="B9" s="44" t="s">
        <v>14</v>
      </c>
      <c r="C9" s="276">
        <v>1</v>
      </c>
      <c r="D9" s="213">
        <v>25.596</v>
      </c>
      <c r="E9" s="214">
        <f>C9*D9</f>
        <v>25.6</v>
      </c>
      <c r="F9" s="215">
        <f>E9*12</f>
        <v>307.2</v>
      </c>
      <c r="G9" s="154"/>
      <c r="H9" s="154"/>
      <c r="I9" s="154"/>
      <c r="J9" s="154"/>
      <c r="K9" s="154">
        <f>F9*0.4</f>
        <v>122.9</v>
      </c>
      <c r="L9" s="154">
        <f>F9*$L$4</f>
        <v>103.9</v>
      </c>
      <c r="M9" s="154">
        <f>F9+G9+H9+I9+J9+K9+L9</f>
        <v>534</v>
      </c>
      <c r="N9" s="171">
        <v>0.98</v>
      </c>
      <c r="O9" s="154">
        <f>M9*N9</f>
        <v>523.29999999999995</v>
      </c>
      <c r="P9" s="154">
        <f>M9+O9</f>
        <v>1057.3</v>
      </c>
      <c r="Q9" s="154">
        <f>P9*0.8</f>
        <v>845.8</v>
      </c>
      <c r="R9" s="154">
        <f>P9*0.8</f>
        <v>845.8</v>
      </c>
      <c r="S9" s="154">
        <f>(P9+Q9+R9)*0.032</f>
        <v>88</v>
      </c>
      <c r="T9" s="154">
        <f>P9+Q9+R9+S9</f>
        <v>2836.9</v>
      </c>
      <c r="U9" s="1531">
        <v>1</v>
      </c>
      <c r="V9" s="154">
        <f>T9*$U$9</f>
        <v>2836.9</v>
      </c>
      <c r="W9" s="154">
        <f>AQ9</f>
        <v>597.20000000000005</v>
      </c>
      <c r="X9" s="276">
        <v>1</v>
      </c>
      <c r="Y9" s="24">
        <v>30</v>
      </c>
      <c r="Z9" s="48">
        <f>X9*Y9</f>
        <v>30</v>
      </c>
      <c r="AA9" s="276"/>
      <c r="AB9" s="24">
        <v>15</v>
      </c>
      <c r="AC9" s="48">
        <f>AA9*AB9</f>
        <v>0</v>
      </c>
      <c r="AD9" s="276"/>
      <c r="AE9" s="24">
        <v>30</v>
      </c>
      <c r="AF9" s="48">
        <f>AD9*AE9</f>
        <v>0</v>
      </c>
      <c r="AG9" s="276">
        <f t="shared" ref="AG9:AG51" si="0">(Z9+AC9+AF9)*1%*30</f>
        <v>9</v>
      </c>
      <c r="AH9" s="48">
        <f t="shared" ref="AH9:AH27" si="1">Z9+AC9+AF9+AG9</f>
        <v>39</v>
      </c>
      <c r="AI9" s="34">
        <f t="shared" ref="AI9:AI36" si="2">V9/12/C9*1000</f>
        <v>236408.3</v>
      </c>
      <c r="AJ9" s="34"/>
      <c r="AK9" s="216">
        <f t="shared" ref="AK9:AK41" si="3">V9/C9</f>
        <v>2836.9</v>
      </c>
      <c r="AL9" s="216">
        <f>((979*0.302)+((AK9-979)*0.182))</f>
        <v>633.79999999999995</v>
      </c>
      <c r="AM9" s="217">
        <f>AL9/AK9</f>
        <v>0.223</v>
      </c>
      <c r="AN9" s="50">
        <f>1150*0.22*C9+(V9-1150*C9)*0.1</f>
        <v>421.7</v>
      </c>
      <c r="AO9" s="50">
        <f>865*0.029</f>
        <v>25.1</v>
      </c>
      <c r="AP9" s="50">
        <f>V9*0.053</f>
        <v>150.4</v>
      </c>
      <c r="AQ9" s="50">
        <f>SUM(AN9:AP9)</f>
        <v>597.20000000000005</v>
      </c>
      <c r="AS9" s="66"/>
    </row>
    <row r="10" spans="1:45" x14ac:dyDescent="0.25">
      <c r="A10" s="276">
        <v>2</v>
      </c>
      <c r="B10" s="44" t="s">
        <v>125</v>
      </c>
      <c r="C10" s="276">
        <v>1</v>
      </c>
      <c r="D10" s="177">
        <v>17.917000000000002</v>
      </c>
      <c r="E10" s="214">
        <f>C10*D10</f>
        <v>17.920000000000002</v>
      </c>
      <c r="F10" s="215">
        <f>E10*12</f>
        <v>215</v>
      </c>
      <c r="G10" s="154"/>
      <c r="H10" s="154">
        <v>8.6999999999999993</v>
      </c>
      <c r="I10" s="154"/>
      <c r="J10" s="154"/>
      <c r="K10" s="154">
        <f>F10*0.4</f>
        <v>86</v>
      </c>
      <c r="L10" s="154">
        <f t="shared" ref="L10:L51" si="4">F10*$L$4</f>
        <v>72.8</v>
      </c>
      <c r="M10" s="154">
        <f>F10+G10+H10+I10+J10+K10+L10</f>
        <v>382.5</v>
      </c>
      <c r="N10" s="171">
        <v>0.47</v>
      </c>
      <c r="O10" s="154">
        <f>M10*N10</f>
        <v>179.8</v>
      </c>
      <c r="P10" s="154">
        <f>M10+O10</f>
        <v>562.29999999999995</v>
      </c>
      <c r="Q10" s="154">
        <f>P10*0.8</f>
        <v>449.8</v>
      </c>
      <c r="R10" s="154">
        <f>P10*0.8</f>
        <v>449.8</v>
      </c>
      <c r="S10" s="154">
        <f>(P10+Q10+R10)*0.032</f>
        <v>46.8</v>
      </c>
      <c r="T10" s="154">
        <f>P10+Q10+R10+S10</f>
        <v>1508.7</v>
      </c>
      <c r="U10" s="1532"/>
      <c r="V10" s="154">
        <f t="shared" ref="V10:V50" si="5">T10*$U$9</f>
        <v>1508.7</v>
      </c>
      <c r="W10" s="154">
        <f>AQ10</f>
        <v>394</v>
      </c>
      <c r="X10" s="276"/>
      <c r="Y10" s="24">
        <v>30</v>
      </c>
      <c r="Z10" s="48">
        <f>X10*Y10</f>
        <v>0</v>
      </c>
      <c r="AA10" s="276"/>
      <c r="AB10" s="24">
        <v>15</v>
      </c>
      <c r="AC10" s="48">
        <f>AA10*AB10</f>
        <v>0</v>
      </c>
      <c r="AD10" s="276"/>
      <c r="AE10" s="24">
        <v>30</v>
      </c>
      <c r="AF10" s="48">
        <f>AD10*AE10</f>
        <v>0</v>
      </c>
      <c r="AG10" s="276">
        <f t="shared" si="0"/>
        <v>0</v>
      </c>
      <c r="AH10" s="48">
        <f t="shared" si="1"/>
        <v>0</v>
      </c>
      <c r="AI10" s="34">
        <f t="shared" si="2"/>
        <v>125725</v>
      </c>
      <c r="AJ10" s="34"/>
      <c r="AK10" s="216">
        <f t="shared" si="3"/>
        <v>1508.7</v>
      </c>
      <c r="AL10" s="216">
        <f t="shared" ref="AL10:AL41" si="6">((979*0.302)+((AK10-979)*0.182))</f>
        <v>392.1</v>
      </c>
      <c r="AM10" s="217">
        <f>AL10/AK10</f>
        <v>0.26</v>
      </c>
      <c r="AN10" s="50">
        <f>1150*0.22*C10+(V10-1150*C10)*0.1</f>
        <v>288.89999999999998</v>
      </c>
      <c r="AO10" s="50">
        <f>865*0.029</f>
        <v>25.1</v>
      </c>
      <c r="AP10" s="50">
        <f>V10*0.053</f>
        <v>80</v>
      </c>
      <c r="AQ10" s="50">
        <f t="shared" ref="AQ10:AQ52" si="7">SUM(AN10:AP10)</f>
        <v>394</v>
      </c>
      <c r="AS10" s="66"/>
    </row>
    <row r="11" spans="1:45" x14ac:dyDescent="0.25">
      <c r="A11" s="276">
        <v>3</v>
      </c>
      <c r="B11" s="44" t="s">
        <v>125</v>
      </c>
      <c r="C11" s="276">
        <v>1</v>
      </c>
      <c r="D11" s="177">
        <v>17.917000000000002</v>
      </c>
      <c r="E11" s="214">
        <f>C11*D11</f>
        <v>17.920000000000002</v>
      </c>
      <c r="F11" s="215">
        <f>E11*12</f>
        <v>215</v>
      </c>
      <c r="G11" s="154"/>
      <c r="H11" s="154">
        <v>7.9</v>
      </c>
      <c r="I11" s="154"/>
      <c r="J11" s="154"/>
      <c r="K11" s="154">
        <f>F11*0.25</f>
        <v>53.8</v>
      </c>
      <c r="L11" s="154">
        <f t="shared" si="4"/>
        <v>72.8</v>
      </c>
      <c r="M11" s="154">
        <f>F11+G11+H11+I11+J11+K11+L11</f>
        <v>349.5</v>
      </c>
      <c r="N11" s="171">
        <v>0.47</v>
      </c>
      <c r="O11" s="154">
        <f>M11*N11</f>
        <v>164.3</v>
      </c>
      <c r="P11" s="154">
        <f>M11+O11</f>
        <v>513.79999999999995</v>
      </c>
      <c r="Q11" s="154">
        <f>P11*0.8</f>
        <v>411</v>
      </c>
      <c r="R11" s="154">
        <f>P11*0.8</f>
        <v>411</v>
      </c>
      <c r="S11" s="154">
        <f>(P11+Q11+R11)*0.032</f>
        <v>42.7</v>
      </c>
      <c r="T11" s="154">
        <f>P11+Q11+R11+S11</f>
        <v>1378.5</v>
      </c>
      <c r="U11" s="1532"/>
      <c r="V11" s="154">
        <f t="shared" si="5"/>
        <v>1378.5</v>
      </c>
      <c r="W11" s="154">
        <f>AQ11</f>
        <v>374.1</v>
      </c>
      <c r="X11" s="276">
        <v>1</v>
      </c>
      <c r="Y11" s="24">
        <v>30</v>
      </c>
      <c r="Z11" s="48">
        <f>X11*Y11</f>
        <v>30</v>
      </c>
      <c r="AA11" s="276"/>
      <c r="AB11" s="24">
        <v>15</v>
      </c>
      <c r="AC11" s="48">
        <f>AA11*AB11</f>
        <v>0</v>
      </c>
      <c r="AD11" s="276"/>
      <c r="AE11" s="24">
        <v>30</v>
      </c>
      <c r="AF11" s="48">
        <f>AD11*AE11</f>
        <v>0</v>
      </c>
      <c r="AG11" s="276">
        <f t="shared" si="0"/>
        <v>9</v>
      </c>
      <c r="AH11" s="48">
        <f t="shared" si="1"/>
        <v>39</v>
      </c>
      <c r="AI11" s="34">
        <f t="shared" si="2"/>
        <v>114875</v>
      </c>
      <c r="AJ11" s="34"/>
      <c r="AK11" s="216">
        <f t="shared" si="3"/>
        <v>1378.5</v>
      </c>
      <c r="AL11" s="216">
        <f t="shared" si="6"/>
        <v>368.4</v>
      </c>
      <c r="AM11" s="217">
        <f>AL11/AK11</f>
        <v>0.26700000000000002</v>
      </c>
      <c r="AN11" s="50">
        <f>1150*0.22*C11+(V11-1150*C11)*0.1</f>
        <v>275.89999999999998</v>
      </c>
      <c r="AO11" s="50">
        <f>865*0.029</f>
        <v>25.1</v>
      </c>
      <c r="AP11" s="50">
        <f>V11*0.053</f>
        <v>73.099999999999994</v>
      </c>
      <c r="AQ11" s="50">
        <f t="shared" si="7"/>
        <v>374.1</v>
      </c>
      <c r="AS11" s="66"/>
    </row>
    <row r="12" spans="1:45" x14ac:dyDescent="0.25">
      <c r="A12" s="277">
        <v>4</v>
      </c>
      <c r="B12" s="44" t="s">
        <v>125</v>
      </c>
      <c r="C12" s="277">
        <v>1</v>
      </c>
      <c r="D12" s="177">
        <v>17.917000000000002</v>
      </c>
      <c r="E12" s="214">
        <f>C12*D12</f>
        <v>17.920000000000002</v>
      </c>
      <c r="F12" s="215">
        <f>E12*12</f>
        <v>215</v>
      </c>
      <c r="G12" s="154"/>
      <c r="H12" s="154"/>
      <c r="I12" s="154"/>
      <c r="J12" s="154"/>
      <c r="K12" s="154"/>
      <c r="L12" s="154">
        <f t="shared" si="4"/>
        <v>72.8</v>
      </c>
      <c r="M12" s="154">
        <f>F12+G12+H12+I12+J12+K12+L12</f>
        <v>287.8</v>
      </c>
      <c r="N12" s="171">
        <v>0.47</v>
      </c>
      <c r="O12" s="154">
        <f>M12*N12</f>
        <v>135.30000000000001</v>
      </c>
      <c r="P12" s="154">
        <f>M12+O12</f>
        <v>423.1</v>
      </c>
      <c r="Q12" s="154">
        <f>P12*0.8</f>
        <v>338.5</v>
      </c>
      <c r="R12" s="154">
        <f>P12*0.8</f>
        <v>338.5</v>
      </c>
      <c r="S12" s="154">
        <f>(P12+Q12+R12)*0.032</f>
        <v>35.200000000000003</v>
      </c>
      <c r="T12" s="154">
        <f>P12+Q12+R12+S12</f>
        <v>1135.3</v>
      </c>
      <c r="U12" s="1532"/>
      <c r="V12" s="154">
        <f t="shared" si="5"/>
        <v>1135.3</v>
      </c>
      <c r="W12" s="154">
        <f>AQ12</f>
        <v>336.8</v>
      </c>
      <c r="X12" s="277">
        <v>1</v>
      </c>
      <c r="Y12" s="24">
        <v>30</v>
      </c>
      <c r="Z12" s="48">
        <f>X12*Y12</f>
        <v>30</v>
      </c>
      <c r="AA12" s="277">
        <v>2</v>
      </c>
      <c r="AB12" s="24">
        <v>15</v>
      </c>
      <c r="AC12" s="48">
        <f>AA12*AB12</f>
        <v>30</v>
      </c>
      <c r="AD12" s="277">
        <v>1</v>
      </c>
      <c r="AE12" s="24">
        <v>30</v>
      </c>
      <c r="AF12" s="48">
        <f>AD12*AE12</f>
        <v>30</v>
      </c>
      <c r="AG12" s="277">
        <f t="shared" si="0"/>
        <v>27</v>
      </c>
      <c r="AH12" s="48">
        <f t="shared" si="1"/>
        <v>117</v>
      </c>
      <c r="AI12" s="34">
        <f t="shared" si="2"/>
        <v>94608.3</v>
      </c>
      <c r="AJ12" s="34"/>
      <c r="AK12" s="216">
        <f t="shared" si="3"/>
        <v>1135.3</v>
      </c>
      <c r="AL12" s="216">
        <f t="shared" si="6"/>
        <v>324.10000000000002</v>
      </c>
      <c r="AM12" s="217">
        <f>AL12/AK12</f>
        <v>0.28499999999999998</v>
      </c>
      <c r="AN12" s="50">
        <f>1150*0.22*C12+(V12-1150*C12)*0.1</f>
        <v>251.5</v>
      </c>
      <c r="AO12" s="50">
        <f>865*0.029</f>
        <v>25.1</v>
      </c>
      <c r="AP12" s="50">
        <f>AK12*0.053</f>
        <v>60.2</v>
      </c>
      <c r="AQ12" s="50">
        <f>SUM(AN12:AP12)*C12</f>
        <v>336.8</v>
      </c>
      <c r="AS12" s="66"/>
    </row>
    <row r="13" spans="1:45" ht="14.25" customHeight="1" x14ac:dyDescent="0.25">
      <c r="A13" s="276">
        <v>5</v>
      </c>
      <c r="B13" s="218" t="s">
        <v>16</v>
      </c>
      <c r="C13" s="276">
        <v>7</v>
      </c>
      <c r="D13" s="177">
        <v>11.061999999999999</v>
      </c>
      <c r="E13" s="171">
        <f t="shared" ref="E13:E19" si="8">C13*D13</f>
        <v>77.430000000000007</v>
      </c>
      <c r="F13" s="154">
        <f t="shared" ref="F13:F19" si="9">E13*12</f>
        <v>929.2</v>
      </c>
      <c r="G13" s="154"/>
      <c r="H13" s="154">
        <f>0.539+1.617+0.539+2.696+1.078</f>
        <v>6.5</v>
      </c>
      <c r="I13" s="154"/>
      <c r="J13" s="154"/>
      <c r="K13" s="154">
        <f>D13*0.2*12+D13*0.25*4*12+D13*0.4*2</f>
        <v>168.1</v>
      </c>
      <c r="L13" s="154">
        <f t="shared" si="4"/>
        <v>314.39999999999998</v>
      </c>
      <c r="M13" s="154">
        <f t="shared" ref="M13:M19" si="10">F13+G13+H13+I13+J13+K13+L13</f>
        <v>1418.2</v>
      </c>
      <c r="N13" s="171">
        <v>0.43</v>
      </c>
      <c r="O13" s="154">
        <f t="shared" ref="O13:O19" si="11">M13*N13</f>
        <v>609.79999999999995</v>
      </c>
      <c r="P13" s="154">
        <f t="shared" ref="P13:P19" si="12">M13+O13</f>
        <v>2028</v>
      </c>
      <c r="Q13" s="154">
        <f t="shared" ref="Q13:Q19" si="13">P13*0.8</f>
        <v>1622.4</v>
      </c>
      <c r="R13" s="154">
        <f t="shared" ref="R13:R19" si="14">P13*0.8</f>
        <v>1622.4</v>
      </c>
      <c r="S13" s="154">
        <f t="shared" ref="S13:S19" si="15">(P13+Q13+R13)*0.032</f>
        <v>168.7</v>
      </c>
      <c r="T13" s="154">
        <f t="shared" ref="T13:T19" si="16">P13+Q13+R13+S13</f>
        <v>5441.5</v>
      </c>
      <c r="U13" s="1532"/>
      <c r="V13" s="154">
        <f t="shared" si="5"/>
        <v>5441.5</v>
      </c>
      <c r="W13" s="154">
        <f>V13*0.302</f>
        <v>1643.3</v>
      </c>
      <c r="X13" s="54">
        <v>4</v>
      </c>
      <c r="Y13" s="24">
        <v>30</v>
      </c>
      <c r="Z13" s="48">
        <f t="shared" ref="Z13:Z19" si="17">X13*Y13</f>
        <v>120</v>
      </c>
      <c r="AA13" s="54">
        <v>1</v>
      </c>
      <c r="AB13" s="24">
        <v>15</v>
      </c>
      <c r="AC13" s="48">
        <f t="shared" ref="AC13:AC19" si="18">AA13*AB13</f>
        <v>15</v>
      </c>
      <c r="AD13" s="54"/>
      <c r="AE13" s="24">
        <v>30</v>
      </c>
      <c r="AF13" s="48">
        <f t="shared" ref="AF13:AF19" si="19">AD13*AE13</f>
        <v>0</v>
      </c>
      <c r="AG13" s="276">
        <f t="shared" si="0"/>
        <v>40.5</v>
      </c>
      <c r="AH13" s="48">
        <f t="shared" si="1"/>
        <v>175.5</v>
      </c>
      <c r="AI13" s="34">
        <f t="shared" si="2"/>
        <v>64779.8</v>
      </c>
      <c r="AJ13" s="34"/>
      <c r="AK13" s="216">
        <f t="shared" si="3"/>
        <v>777.4</v>
      </c>
      <c r="AL13" s="216">
        <f t="shared" si="6"/>
        <v>259</v>
      </c>
      <c r="AM13" s="217">
        <v>0.30199999999999999</v>
      </c>
      <c r="AN13" s="50"/>
      <c r="AQ13" s="50">
        <f t="shared" si="7"/>
        <v>0</v>
      </c>
      <c r="AS13" s="66"/>
    </row>
    <row r="14" spans="1:45" x14ac:dyDescent="0.25">
      <c r="A14" s="276">
        <v>6</v>
      </c>
      <c r="B14" s="218" t="s">
        <v>16</v>
      </c>
      <c r="C14" s="276">
        <v>1</v>
      </c>
      <c r="D14" s="177">
        <v>11.061999999999999</v>
      </c>
      <c r="E14" s="171">
        <f>C14*D14</f>
        <v>11.06</v>
      </c>
      <c r="F14" s="154">
        <f t="shared" si="9"/>
        <v>132.69999999999999</v>
      </c>
      <c r="G14" s="154"/>
      <c r="H14" s="34">
        <f>5.4+1.617</f>
        <v>7</v>
      </c>
      <c r="I14" s="154"/>
      <c r="J14" s="154"/>
      <c r="K14" s="154">
        <f>F14*0.4</f>
        <v>53.1</v>
      </c>
      <c r="L14" s="154">
        <f t="shared" si="4"/>
        <v>44.9</v>
      </c>
      <c r="M14" s="154">
        <f t="shared" si="10"/>
        <v>237.7</v>
      </c>
      <c r="N14" s="171">
        <v>0.43</v>
      </c>
      <c r="O14" s="154">
        <f t="shared" si="11"/>
        <v>102.2</v>
      </c>
      <c r="P14" s="154">
        <f t="shared" si="12"/>
        <v>339.9</v>
      </c>
      <c r="Q14" s="154">
        <f t="shared" si="13"/>
        <v>271.89999999999998</v>
      </c>
      <c r="R14" s="154">
        <f t="shared" si="14"/>
        <v>271.89999999999998</v>
      </c>
      <c r="S14" s="154">
        <f t="shared" si="15"/>
        <v>28.3</v>
      </c>
      <c r="T14" s="154">
        <f t="shared" si="16"/>
        <v>912</v>
      </c>
      <c r="U14" s="1532"/>
      <c r="V14" s="154">
        <f t="shared" si="5"/>
        <v>912</v>
      </c>
      <c r="W14" s="154">
        <f>AQ14</f>
        <v>274</v>
      </c>
      <c r="X14" s="54">
        <v>1</v>
      </c>
      <c r="Y14" s="24">
        <v>30</v>
      </c>
      <c r="Z14" s="48">
        <f t="shared" si="17"/>
        <v>30</v>
      </c>
      <c r="AA14" s="54"/>
      <c r="AB14" s="24">
        <v>15</v>
      </c>
      <c r="AC14" s="48">
        <f t="shared" si="18"/>
        <v>0</v>
      </c>
      <c r="AD14" s="54"/>
      <c r="AE14" s="24">
        <v>30</v>
      </c>
      <c r="AF14" s="48">
        <f>AD14*AE14</f>
        <v>0</v>
      </c>
      <c r="AG14" s="276">
        <f t="shared" si="0"/>
        <v>9</v>
      </c>
      <c r="AH14" s="48">
        <f t="shared" si="1"/>
        <v>39</v>
      </c>
      <c r="AI14" s="34">
        <f t="shared" si="2"/>
        <v>76000</v>
      </c>
      <c r="AJ14" s="34"/>
      <c r="AK14" s="216">
        <f t="shared" si="3"/>
        <v>912</v>
      </c>
      <c r="AL14" s="216">
        <f t="shared" si="6"/>
        <v>283.5</v>
      </c>
      <c r="AM14" s="217">
        <f>AL14/AK14</f>
        <v>0.311</v>
      </c>
      <c r="AN14" s="50">
        <f>AK14*0.22</f>
        <v>200.6</v>
      </c>
      <c r="AO14" s="50">
        <f>865*0.029</f>
        <v>25.1</v>
      </c>
      <c r="AP14" s="50">
        <f>AK14*0.053</f>
        <v>48.3</v>
      </c>
      <c r="AQ14" s="50">
        <f>SUM(AN14:AP14)*C14</f>
        <v>274</v>
      </c>
      <c r="AS14" s="66"/>
    </row>
    <row r="15" spans="1:45" ht="26.4" x14ac:dyDescent="0.25">
      <c r="A15" s="276">
        <v>8</v>
      </c>
      <c r="B15" s="218" t="s">
        <v>45</v>
      </c>
      <c r="C15" s="276">
        <v>1</v>
      </c>
      <c r="D15" s="177">
        <v>11.061999999999999</v>
      </c>
      <c r="E15" s="171">
        <f t="shared" si="8"/>
        <v>11.06</v>
      </c>
      <c r="F15" s="154">
        <f t="shared" si="9"/>
        <v>132.69999999999999</v>
      </c>
      <c r="G15" s="154"/>
      <c r="H15" s="154">
        <v>2.4</v>
      </c>
      <c r="I15" s="154"/>
      <c r="J15" s="154"/>
      <c r="K15" s="154">
        <f>F15*0.4</f>
        <v>53.1</v>
      </c>
      <c r="L15" s="154">
        <f t="shared" si="4"/>
        <v>44.9</v>
      </c>
      <c r="M15" s="154">
        <f t="shared" si="10"/>
        <v>233.1</v>
      </c>
      <c r="N15" s="171">
        <v>0.43</v>
      </c>
      <c r="O15" s="154">
        <f t="shared" si="11"/>
        <v>100.2</v>
      </c>
      <c r="P15" s="154">
        <f t="shared" si="12"/>
        <v>333.3</v>
      </c>
      <c r="Q15" s="154">
        <f t="shared" si="13"/>
        <v>266.60000000000002</v>
      </c>
      <c r="R15" s="154">
        <f t="shared" si="14"/>
        <v>266.60000000000002</v>
      </c>
      <c r="S15" s="154">
        <f t="shared" si="15"/>
        <v>27.7</v>
      </c>
      <c r="T15" s="154">
        <f t="shared" si="16"/>
        <v>894.2</v>
      </c>
      <c r="U15" s="1532"/>
      <c r="V15" s="154">
        <f t="shared" si="5"/>
        <v>894.2</v>
      </c>
      <c r="W15" s="154">
        <f>AQ15</f>
        <v>269.2</v>
      </c>
      <c r="X15" s="54"/>
      <c r="Y15" s="24">
        <v>30</v>
      </c>
      <c r="Z15" s="48">
        <f t="shared" si="17"/>
        <v>0</v>
      </c>
      <c r="AA15" s="54"/>
      <c r="AB15" s="24">
        <v>15</v>
      </c>
      <c r="AC15" s="48">
        <f t="shared" si="18"/>
        <v>0</v>
      </c>
      <c r="AD15" s="54"/>
      <c r="AE15" s="24">
        <v>30</v>
      </c>
      <c r="AF15" s="48">
        <f t="shared" si="19"/>
        <v>0</v>
      </c>
      <c r="AG15" s="276">
        <f t="shared" si="0"/>
        <v>0</v>
      </c>
      <c r="AH15" s="48">
        <f t="shared" si="1"/>
        <v>0</v>
      </c>
      <c r="AI15" s="34">
        <f t="shared" si="2"/>
        <v>74516.7</v>
      </c>
      <c r="AJ15" s="34"/>
      <c r="AK15" s="216">
        <f t="shared" si="3"/>
        <v>894.2</v>
      </c>
      <c r="AL15" s="216">
        <f t="shared" si="6"/>
        <v>280.2</v>
      </c>
      <c r="AM15" s="217">
        <v>0.30199999999999999</v>
      </c>
      <c r="AN15" s="50">
        <f>AK15*0.22</f>
        <v>196.7</v>
      </c>
      <c r="AO15" s="50">
        <f>865*0.029</f>
        <v>25.1</v>
      </c>
      <c r="AP15" s="50">
        <f>AK15*0.053</f>
        <v>47.4</v>
      </c>
      <c r="AQ15" s="50">
        <f t="shared" si="7"/>
        <v>269.2</v>
      </c>
      <c r="AS15" s="66"/>
    </row>
    <row r="16" spans="1:45" ht="26.4" x14ac:dyDescent="0.25">
      <c r="A16" s="276">
        <v>9</v>
      </c>
      <c r="B16" s="218" t="s">
        <v>46</v>
      </c>
      <c r="C16" s="276">
        <v>1</v>
      </c>
      <c r="D16" s="177">
        <v>11.061999999999999</v>
      </c>
      <c r="E16" s="171">
        <f t="shared" si="8"/>
        <v>11.06</v>
      </c>
      <c r="F16" s="154">
        <f t="shared" si="9"/>
        <v>132.69999999999999</v>
      </c>
      <c r="G16" s="154"/>
      <c r="H16" s="154">
        <v>2.4</v>
      </c>
      <c r="I16" s="154"/>
      <c r="J16" s="154"/>
      <c r="K16" s="154">
        <f>F16*0.4</f>
        <v>53.1</v>
      </c>
      <c r="L16" s="154">
        <f t="shared" si="4"/>
        <v>44.9</v>
      </c>
      <c r="M16" s="154">
        <f t="shared" si="10"/>
        <v>233.1</v>
      </c>
      <c r="N16" s="171">
        <v>0.43</v>
      </c>
      <c r="O16" s="154">
        <f t="shared" si="11"/>
        <v>100.2</v>
      </c>
      <c r="P16" s="154">
        <f t="shared" si="12"/>
        <v>333.3</v>
      </c>
      <c r="Q16" s="154">
        <f t="shared" si="13"/>
        <v>266.60000000000002</v>
      </c>
      <c r="R16" s="154">
        <f t="shared" si="14"/>
        <v>266.60000000000002</v>
      </c>
      <c r="S16" s="154">
        <f t="shared" si="15"/>
        <v>27.7</v>
      </c>
      <c r="T16" s="154">
        <f t="shared" si="16"/>
        <v>894.2</v>
      </c>
      <c r="U16" s="1532"/>
      <c r="V16" s="154">
        <f t="shared" si="5"/>
        <v>894.2</v>
      </c>
      <c r="W16" s="154">
        <f>AQ16</f>
        <v>269.2</v>
      </c>
      <c r="X16" s="54">
        <v>1</v>
      </c>
      <c r="Y16" s="24">
        <v>30</v>
      </c>
      <c r="Z16" s="48">
        <f t="shared" si="17"/>
        <v>30</v>
      </c>
      <c r="AA16" s="54">
        <v>1</v>
      </c>
      <c r="AB16" s="24">
        <v>15</v>
      </c>
      <c r="AC16" s="48">
        <f t="shared" si="18"/>
        <v>15</v>
      </c>
      <c r="AD16" s="54">
        <v>1</v>
      </c>
      <c r="AE16" s="24">
        <v>30</v>
      </c>
      <c r="AF16" s="48">
        <f t="shared" si="19"/>
        <v>30</v>
      </c>
      <c r="AG16" s="276">
        <f t="shared" si="0"/>
        <v>22.5</v>
      </c>
      <c r="AH16" s="48">
        <f t="shared" si="1"/>
        <v>97.5</v>
      </c>
      <c r="AI16" s="34">
        <f t="shared" si="2"/>
        <v>74516.7</v>
      </c>
      <c r="AJ16" s="34"/>
      <c r="AK16" s="216">
        <f t="shared" si="3"/>
        <v>894.2</v>
      </c>
      <c r="AL16" s="216">
        <f t="shared" si="6"/>
        <v>280.2</v>
      </c>
      <c r="AM16" s="217">
        <f>AL16/AK16</f>
        <v>0.313</v>
      </c>
      <c r="AN16" s="50">
        <f>AK16*0.22</f>
        <v>196.7</v>
      </c>
      <c r="AO16" s="50">
        <f>865*0.029</f>
        <v>25.1</v>
      </c>
      <c r="AP16" s="50">
        <f>AK16*0.053</f>
        <v>47.4</v>
      </c>
      <c r="AQ16" s="50">
        <f t="shared" si="7"/>
        <v>269.2</v>
      </c>
      <c r="AS16" s="66"/>
    </row>
    <row r="17" spans="1:45" ht="26.4" x14ac:dyDescent="0.25">
      <c r="A17" s="276">
        <v>10</v>
      </c>
      <c r="B17" s="218" t="s">
        <v>100</v>
      </c>
      <c r="C17" s="276">
        <v>1</v>
      </c>
      <c r="D17" s="177">
        <v>11.061999999999999</v>
      </c>
      <c r="E17" s="171">
        <f>C17*D17</f>
        <v>11.06</v>
      </c>
      <c r="F17" s="154">
        <f>E17*12</f>
        <v>132.69999999999999</v>
      </c>
      <c r="G17" s="154"/>
      <c r="H17" s="154">
        <v>5.4</v>
      </c>
      <c r="I17" s="154"/>
      <c r="J17" s="154"/>
      <c r="K17" s="154"/>
      <c r="L17" s="154">
        <f t="shared" si="4"/>
        <v>44.9</v>
      </c>
      <c r="M17" s="154">
        <f>F17+G17+H17+I17+J17+K17+L17</f>
        <v>183</v>
      </c>
      <c r="N17" s="171">
        <v>0.43</v>
      </c>
      <c r="O17" s="154">
        <f>M17*N17</f>
        <v>78.7</v>
      </c>
      <c r="P17" s="154">
        <f>M17+O17</f>
        <v>261.7</v>
      </c>
      <c r="Q17" s="154">
        <f>P17*0.8</f>
        <v>209.4</v>
      </c>
      <c r="R17" s="154">
        <f>P17*0.8</f>
        <v>209.4</v>
      </c>
      <c r="S17" s="154">
        <f>(P17+Q17+R17)*0.032</f>
        <v>21.8</v>
      </c>
      <c r="T17" s="154">
        <f>P17+Q17+R17+S17</f>
        <v>702.3</v>
      </c>
      <c r="U17" s="1532"/>
      <c r="V17" s="154">
        <f t="shared" si="5"/>
        <v>702.3</v>
      </c>
      <c r="W17" s="154">
        <f>V17*0.302</f>
        <v>212.1</v>
      </c>
      <c r="X17" s="54">
        <v>1</v>
      </c>
      <c r="Y17" s="24">
        <v>30</v>
      </c>
      <c r="Z17" s="48">
        <f>X17*Y17</f>
        <v>30</v>
      </c>
      <c r="AA17" s="54"/>
      <c r="AB17" s="24">
        <v>15</v>
      </c>
      <c r="AC17" s="48">
        <f>AA17*AB17</f>
        <v>0</v>
      </c>
      <c r="AD17" s="54"/>
      <c r="AE17" s="24">
        <v>30</v>
      </c>
      <c r="AF17" s="48">
        <f>AD17*AE17</f>
        <v>0</v>
      </c>
      <c r="AG17" s="276">
        <f t="shared" si="0"/>
        <v>9</v>
      </c>
      <c r="AH17" s="48">
        <f t="shared" si="1"/>
        <v>39</v>
      </c>
      <c r="AI17" s="34">
        <f t="shared" si="2"/>
        <v>58525</v>
      </c>
      <c r="AJ17" s="34"/>
      <c r="AK17" s="216">
        <f t="shared" si="3"/>
        <v>702.3</v>
      </c>
      <c r="AL17" s="216">
        <f t="shared" si="6"/>
        <v>245.3</v>
      </c>
      <c r="AM17" s="217">
        <f>AL17/AK17</f>
        <v>0.34899999999999998</v>
      </c>
      <c r="AN17" s="50"/>
      <c r="AO17" s="50"/>
      <c r="AP17" s="50"/>
      <c r="AQ17" s="50">
        <f t="shared" si="7"/>
        <v>0</v>
      </c>
      <c r="AS17" s="66"/>
    </row>
    <row r="18" spans="1:45" x14ac:dyDescent="0.25">
      <c r="A18" s="276">
        <v>11</v>
      </c>
      <c r="B18" s="218" t="s">
        <v>105</v>
      </c>
      <c r="C18" s="276">
        <v>2</v>
      </c>
      <c r="D18" s="177">
        <v>8.4730000000000008</v>
      </c>
      <c r="E18" s="171">
        <f t="shared" si="8"/>
        <v>16.95</v>
      </c>
      <c r="F18" s="154">
        <f t="shared" si="9"/>
        <v>203.4</v>
      </c>
      <c r="G18" s="154"/>
      <c r="H18" s="154">
        <v>2.1</v>
      </c>
      <c r="I18" s="154"/>
      <c r="J18" s="154"/>
      <c r="K18" s="154">
        <f>D18*0.35*12+D18*0.3*12+D18*9.5*0.05</f>
        <v>70.099999999999994</v>
      </c>
      <c r="L18" s="154">
        <f t="shared" si="4"/>
        <v>68.8</v>
      </c>
      <c r="M18" s="154">
        <f t="shared" si="10"/>
        <v>344.4</v>
      </c>
      <c r="N18" s="171">
        <v>0.41</v>
      </c>
      <c r="O18" s="154">
        <f t="shared" si="11"/>
        <v>141.19999999999999</v>
      </c>
      <c r="P18" s="154">
        <f t="shared" si="12"/>
        <v>485.6</v>
      </c>
      <c r="Q18" s="154">
        <f t="shared" si="13"/>
        <v>388.5</v>
      </c>
      <c r="R18" s="154">
        <f t="shared" si="14"/>
        <v>388.5</v>
      </c>
      <c r="S18" s="154">
        <f t="shared" si="15"/>
        <v>40.4</v>
      </c>
      <c r="T18" s="154">
        <f t="shared" si="16"/>
        <v>1303</v>
      </c>
      <c r="U18" s="1532"/>
      <c r="V18" s="154">
        <f t="shared" si="5"/>
        <v>1303</v>
      </c>
      <c r="W18" s="154">
        <f>V18*0.302</f>
        <v>393.5</v>
      </c>
      <c r="X18" s="54"/>
      <c r="Y18" s="24">
        <v>30</v>
      </c>
      <c r="Z18" s="48">
        <f t="shared" si="17"/>
        <v>0</v>
      </c>
      <c r="AA18" s="54"/>
      <c r="AB18" s="24">
        <v>15</v>
      </c>
      <c r="AC18" s="48">
        <f t="shared" si="18"/>
        <v>0</v>
      </c>
      <c r="AD18" s="54"/>
      <c r="AE18" s="24">
        <v>30</v>
      </c>
      <c r="AF18" s="48">
        <f t="shared" si="19"/>
        <v>0</v>
      </c>
      <c r="AG18" s="276">
        <f t="shared" si="0"/>
        <v>0</v>
      </c>
      <c r="AH18" s="48">
        <f t="shared" si="1"/>
        <v>0</v>
      </c>
      <c r="AI18" s="34">
        <f t="shared" si="2"/>
        <v>54291.7</v>
      </c>
      <c r="AJ18" s="34"/>
      <c r="AK18" s="216">
        <f t="shared" si="3"/>
        <v>651.5</v>
      </c>
      <c r="AL18" s="216">
        <f t="shared" si="6"/>
        <v>236.1</v>
      </c>
      <c r="AM18" s="217">
        <v>0.30199999999999999</v>
      </c>
      <c r="AQ18" s="50">
        <f t="shared" si="7"/>
        <v>0</v>
      </c>
      <c r="AS18" s="66"/>
    </row>
    <row r="19" spans="1:45" x14ac:dyDescent="0.25">
      <c r="A19" s="276">
        <v>12</v>
      </c>
      <c r="B19" s="218" t="s">
        <v>47</v>
      </c>
      <c r="C19" s="219">
        <v>1</v>
      </c>
      <c r="D19" s="177">
        <v>6.2859999999999996</v>
      </c>
      <c r="E19" s="171">
        <f t="shared" si="8"/>
        <v>6.29</v>
      </c>
      <c r="F19" s="154">
        <f t="shared" si="9"/>
        <v>75.5</v>
      </c>
      <c r="G19" s="154"/>
      <c r="H19" s="154">
        <v>2.8</v>
      </c>
      <c r="I19" s="154"/>
      <c r="J19" s="154"/>
      <c r="K19" s="154">
        <f>F19*0.2+D19*0.05*9.5</f>
        <v>18.100000000000001</v>
      </c>
      <c r="L19" s="154">
        <f t="shared" si="4"/>
        <v>25.5</v>
      </c>
      <c r="M19" s="154">
        <f t="shared" si="10"/>
        <v>121.9</v>
      </c>
      <c r="N19" s="171">
        <v>0.45</v>
      </c>
      <c r="O19" s="154">
        <f t="shared" si="11"/>
        <v>54.9</v>
      </c>
      <c r="P19" s="154">
        <f t="shared" si="12"/>
        <v>176.8</v>
      </c>
      <c r="Q19" s="154">
        <f t="shared" si="13"/>
        <v>141.4</v>
      </c>
      <c r="R19" s="154">
        <f t="shared" si="14"/>
        <v>141.4</v>
      </c>
      <c r="S19" s="154">
        <f t="shared" si="15"/>
        <v>14.7</v>
      </c>
      <c r="T19" s="154">
        <f t="shared" si="16"/>
        <v>474.3</v>
      </c>
      <c r="U19" s="1532"/>
      <c r="V19" s="154">
        <f t="shared" si="5"/>
        <v>474.3</v>
      </c>
      <c r="W19" s="154">
        <f>V19*0.302</f>
        <v>143.19999999999999</v>
      </c>
      <c r="X19" s="54">
        <v>1</v>
      </c>
      <c r="Y19" s="24">
        <v>30</v>
      </c>
      <c r="Z19" s="48">
        <f t="shared" si="17"/>
        <v>30</v>
      </c>
      <c r="AA19" s="54"/>
      <c r="AB19" s="24">
        <v>15</v>
      </c>
      <c r="AC19" s="48">
        <f t="shared" si="18"/>
        <v>0</v>
      </c>
      <c r="AD19" s="54">
        <v>1</v>
      </c>
      <c r="AE19" s="24">
        <v>30</v>
      </c>
      <c r="AF19" s="48">
        <f t="shared" si="19"/>
        <v>30</v>
      </c>
      <c r="AG19" s="276">
        <f t="shared" si="0"/>
        <v>18</v>
      </c>
      <c r="AH19" s="48">
        <f t="shared" si="1"/>
        <v>78</v>
      </c>
      <c r="AI19" s="34">
        <f t="shared" si="2"/>
        <v>39525</v>
      </c>
      <c r="AJ19" s="34"/>
      <c r="AK19" s="216">
        <f t="shared" si="3"/>
        <v>474.3</v>
      </c>
      <c r="AL19" s="216">
        <f t="shared" si="6"/>
        <v>203.8</v>
      </c>
      <c r="AM19" s="217">
        <v>0.30199999999999999</v>
      </c>
      <c r="AQ19" s="50">
        <f t="shared" si="7"/>
        <v>0</v>
      </c>
      <c r="AS19" s="66"/>
    </row>
    <row r="20" spans="1:45" s="33" customFormat="1" x14ac:dyDescent="0.25">
      <c r="A20" s="276">
        <v>13</v>
      </c>
      <c r="B20" s="218" t="s">
        <v>48</v>
      </c>
      <c r="C20" s="276">
        <v>1</v>
      </c>
      <c r="D20" s="177">
        <v>11.061999999999999</v>
      </c>
      <c r="E20" s="171">
        <f>C20*D20</f>
        <v>11.06</v>
      </c>
      <c r="F20" s="154">
        <f>E20*12</f>
        <v>132.69999999999999</v>
      </c>
      <c r="G20" s="154"/>
      <c r="H20" s="154">
        <v>1.8</v>
      </c>
      <c r="I20" s="154"/>
      <c r="J20" s="154"/>
      <c r="K20" s="154">
        <f>F20*0.35</f>
        <v>46.4</v>
      </c>
      <c r="L20" s="154">
        <f t="shared" si="4"/>
        <v>44.9</v>
      </c>
      <c r="M20" s="154">
        <f>F20+G20+H20+I20+J20+K20+L20</f>
        <v>225.8</v>
      </c>
      <c r="N20" s="171">
        <v>0.47</v>
      </c>
      <c r="O20" s="154">
        <f>M20*N20</f>
        <v>106.1</v>
      </c>
      <c r="P20" s="154">
        <f>M20+O20</f>
        <v>331.9</v>
      </c>
      <c r="Q20" s="154">
        <f>P20*0.8</f>
        <v>265.5</v>
      </c>
      <c r="R20" s="154">
        <f>P20*0.8</f>
        <v>265.5</v>
      </c>
      <c r="S20" s="154">
        <f>(P20+Q20+R20)*0.032</f>
        <v>27.6</v>
      </c>
      <c r="T20" s="154">
        <f>P20+Q20+R20+S20</f>
        <v>890.5</v>
      </c>
      <c r="U20" s="1532"/>
      <c r="V20" s="154">
        <f t="shared" si="5"/>
        <v>890.5</v>
      </c>
      <c r="W20" s="154">
        <f>AQ20</f>
        <v>268.2</v>
      </c>
      <c r="X20" s="54">
        <v>1</v>
      </c>
      <c r="Y20" s="24">
        <v>30</v>
      </c>
      <c r="Z20" s="48">
        <f>X20*Y20</f>
        <v>30</v>
      </c>
      <c r="AA20" s="54"/>
      <c r="AB20" s="24">
        <v>15</v>
      </c>
      <c r="AC20" s="48">
        <f>AA20*AB20</f>
        <v>0</v>
      </c>
      <c r="AD20" s="54"/>
      <c r="AE20" s="24">
        <v>30</v>
      </c>
      <c r="AF20" s="48">
        <f>AD20*AE20</f>
        <v>0</v>
      </c>
      <c r="AG20" s="276">
        <f t="shared" si="0"/>
        <v>9</v>
      </c>
      <c r="AH20" s="48">
        <f t="shared" si="1"/>
        <v>39</v>
      </c>
      <c r="AI20" s="34">
        <f t="shared" si="2"/>
        <v>74208.3</v>
      </c>
      <c r="AJ20" s="220"/>
      <c r="AK20" s="216">
        <f t="shared" si="3"/>
        <v>890.5</v>
      </c>
      <c r="AL20" s="216">
        <f t="shared" si="6"/>
        <v>279.60000000000002</v>
      </c>
      <c r="AM20" s="217">
        <f>AL20/AK20</f>
        <v>0.314</v>
      </c>
      <c r="AN20" s="50">
        <f>AK20*0.22</f>
        <v>195.9</v>
      </c>
      <c r="AO20" s="50">
        <f>865*0.029</f>
        <v>25.1</v>
      </c>
      <c r="AP20" s="50">
        <f>AK20*0.053</f>
        <v>47.2</v>
      </c>
      <c r="AQ20" s="50">
        <f t="shared" si="7"/>
        <v>268.2</v>
      </c>
      <c r="AS20" s="66"/>
    </row>
    <row r="21" spans="1:45" s="33" customFormat="1" x14ac:dyDescent="0.25">
      <c r="A21" s="276">
        <v>14</v>
      </c>
      <c r="B21" s="218" t="s">
        <v>31</v>
      </c>
      <c r="C21" s="276">
        <v>5</v>
      </c>
      <c r="D21" s="177">
        <v>11.061999999999999</v>
      </c>
      <c r="E21" s="171">
        <f>C21*D21</f>
        <v>55.31</v>
      </c>
      <c r="F21" s="154">
        <f>E21*12</f>
        <v>663.7</v>
      </c>
      <c r="G21" s="154"/>
      <c r="H21" s="154">
        <f>40.443+1.617+1.078</f>
        <v>43.1</v>
      </c>
      <c r="I21" s="154"/>
      <c r="J21" s="154"/>
      <c r="K21" s="154">
        <f>D21*0.4*4*12+D21*0.35*12+D21*0.05*3</f>
        <v>260.5</v>
      </c>
      <c r="L21" s="154">
        <f t="shared" si="4"/>
        <v>224.6</v>
      </c>
      <c r="M21" s="154">
        <f>F21+G21+H21+I21+J21+K21+L21</f>
        <v>1191.9000000000001</v>
      </c>
      <c r="N21" s="171">
        <v>0.47</v>
      </c>
      <c r="O21" s="154">
        <f>M21*N21</f>
        <v>560.20000000000005</v>
      </c>
      <c r="P21" s="154">
        <f>M21+O21</f>
        <v>1752.1</v>
      </c>
      <c r="Q21" s="154">
        <f>P21*0.8</f>
        <v>1401.7</v>
      </c>
      <c r="R21" s="154">
        <f>P21*0.8</f>
        <v>1401.7</v>
      </c>
      <c r="S21" s="154">
        <f>(P21+Q21+R21)*0.032</f>
        <v>145.80000000000001</v>
      </c>
      <c r="T21" s="154">
        <f>P21+Q21+R21+S21</f>
        <v>4701.3</v>
      </c>
      <c r="U21" s="1532"/>
      <c r="V21" s="154">
        <f t="shared" si="5"/>
        <v>4701.3</v>
      </c>
      <c r="W21" s="154">
        <f>AQ21*C21</f>
        <v>1409</v>
      </c>
      <c r="X21" s="54">
        <v>4</v>
      </c>
      <c r="Y21" s="24">
        <v>30</v>
      </c>
      <c r="Z21" s="48">
        <f>X21*Y21</f>
        <v>120</v>
      </c>
      <c r="AA21" s="54">
        <v>2</v>
      </c>
      <c r="AB21" s="24">
        <v>15</v>
      </c>
      <c r="AC21" s="48">
        <f>AA21*AB21</f>
        <v>30</v>
      </c>
      <c r="AD21" s="54">
        <v>1</v>
      </c>
      <c r="AE21" s="24">
        <v>30</v>
      </c>
      <c r="AF21" s="48">
        <f>AD21*AE21</f>
        <v>30</v>
      </c>
      <c r="AG21" s="276">
        <f t="shared" si="0"/>
        <v>54</v>
      </c>
      <c r="AH21" s="48">
        <f t="shared" si="1"/>
        <v>234</v>
      </c>
      <c r="AI21" s="34">
        <f t="shared" si="2"/>
        <v>78355</v>
      </c>
      <c r="AJ21" s="220"/>
      <c r="AK21" s="216">
        <f t="shared" si="3"/>
        <v>940.3</v>
      </c>
      <c r="AL21" s="216">
        <f t="shared" si="6"/>
        <v>288.60000000000002</v>
      </c>
      <c r="AM21" s="217">
        <v>0.30199999999999999</v>
      </c>
      <c r="AN21" s="211">
        <f>AK21*0.22</f>
        <v>206.86600000000001</v>
      </c>
      <c r="AO21" s="50">
        <f>865*0.029</f>
        <v>25.1</v>
      </c>
      <c r="AP21" s="50">
        <f>AK21*0.053</f>
        <v>49.8</v>
      </c>
      <c r="AQ21" s="50">
        <f>SUM(AN21:AP21)</f>
        <v>281.8</v>
      </c>
      <c r="AS21" s="66"/>
    </row>
    <row r="22" spans="1:45" s="33" customFormat="1" ht="26.4" x14ac:dyDescent="0.25">
      <c r="A22" s="276">
        <v>15</v>
      </c>
      <c r="B22" s="218" t="s">
        <v>110</v>
      </c>
      <c r="C22" s="276">
        <v>1</v>
      </c>
      <c r="D22" s="177">
        <v>6.2859999999999996</v>
      </c>
      <c r="E22" s="171">
        <f>C22*D22</f>
        <v>6.29</v>
      </c>
      <c r="F22" s="154">
        <f>E22*12</f>
        <v>75.5</v>
      </c>
      <c r="G22" s="154"/>
      <c r="H22" s="154"/>
      <c r="I22" s="154"/>
      <c r="J22" s="154"/>
      <c r="K22" s="154">
        <f>F22*0.2</f>
        <v>15.1</v>
      </c>
      <c r="L22" s="154">
        <f t="shared" si="4"/>
        <v>25.5</v>
      </c>
      <c r="M22" s="154">
        <f>F22+G22+H22+I22+J22+K22+L22</f>
        <v>116.1</v>
      </c>
      <c r="N22" s="171">
        <v>0.45</v>
      </c>
      <c r="O22" s="154">
        <f>M22*N22</f>
        <v>52.2</v>
      </c>
      <c r="P22" s="154">
        <f>M22+O22</f>
        <v>168.3</v>
      </c>
      <c r="Q22" s="154">
        <f>P22*0.8</f>
        <v>134.6</v>
      </c>
      <c r="R22" s="154">
        <f>P22*0.8</f>
        <v>134.6</v>
      </c>
      <c r="S22" s="154">
        <f>(P22+Q22+R22)*0.032</f>
        <v>14</v>
      </c>
      <c r="T22" s="154">
        <f>P22+Q22+R22+S22</f>
        <v>451.5</v>
      </c>
      <c r="U22" s="1532"/>
      <c r="V22" s="154">
        <f t="shared" si="5"/>
        <v>451.5</v>
      </c>
      <c r="W22" s="154">
        <f t="shared" ref="W22:W51" si="20">V22*0.302</f>
        <v>136.4</v>
      </c>
      <c r="X22" s="54">
        <v>1</v>
      </c>
      <c r="Y22" s="24">
        <v>30</v>
      </c>
      <c r="Z22" s="48">
        <f>X22*Y22</f>
        <v>30</v>
      </c>
      <c r="AA22" s="54"/>
      <c r="AB22" s="24">
        <v>15</v>
      </c>
      <c r="AC22" s="48">
        <f>AA22*AB22</f>
        <v>0</v>
      </c>
      <c r="AD22" s="54"/>
      <c r="AE22" s="24">
        <v>30</v>
      </c>
      <c r="AF22" s="48">
        <f>AD22*AE22</f>
        <v>0</v>
      </c>
      <c r="AG22" s="276">
        <f t="shared" si="0"/>
        <v>9</v>
      </c>
      <c r="AH22" s="48">
        <f t="shared" si="1"/>
        <v>39</v>
      </c>
      <c r="AI22" s="34">
        <f t="shared" si="2"/>
        <v>37625</v>
      </c>
      <c r="AJ22" s="220"/>
      <c r="AK22" s="216">
        <f t="shared" si="3"/>
        <v>451.5</v>
      </c>
      <c r="AL22" s="216">
        <f t="shared" si="6"/>
        <v>199.7</v>
      </c>
      <c r="AM22" s="217">
        <v>0.30199999999999999</v>
      </c>
      <c r="AN22" s="211"/>
      <c r="AO22" s="211"/>
      <c r="AP22" s="211"/>
      <c r="AQ22" s="50">
        <f t="shared" si="7"/>
        <v>0</v>
      </c>
      <c r="AS22" s="66"/>
    </row>
    <row r="23" spans="1:45" x14ac:dyDescent="0.25">
      <c r="A23" s="276">
        <v>16</v>
      </c>
      <c r="B23" s="218" t="s">
        <v>49</v>
      </c>
      <c r="C23" s="54">
        <v>1</v>
      </c>
      <c r="D23" s="177">
        <v>8.4730000000000008</v>
      </c>
      <c r="E23" s="171">
        <f>C23*D23</f>
        <v>8.4700000000000006</v>
      </c>
      <c r="F23" s="154">
        <f t="shared" ref="F23:F41" si="21">E23*12</f>
        <v>101.6</v>
      </c>
      <c r="G23" s="154"/>
      <c r="H23" s="154">
        <v>3.7</v>
      </c>
      <c r="I23" s="154"/>
      <c r="J23" s="154">
        <f>F23*0.1</f>
        <v>10.199999999999999</v>
      </c>
      <c r="K23" s="154">
        <f>F23*0.3</f>
        <v>30.5</v>
      </c>
      <c r="L23" s="154">
        <f t="shared" si="4"/>
        <v>34.4</v>
      </c>
      <c r="M23" s="154">
        <f t="shared" ref="M23:M41" si="22">F23+G23+H23+I23+J23+K23+L23</f>
        <v>180.4</v>
      </c>
      <c r="N23" s="171">
        <v>0.41</v>
      </c>
      <c r="O23" s="154">
        <f t="shared" ref="O23:O41" si="23">M23*N23</f>
        <v>74</v>
      </c>
      <c r="P23" s="154">
        <f t="shared" ref="P23:P41" si="24">M23+O23</f>
        <v>254.4</v>
      </c>
      <c r="Q23" s="154">
        <f t="shared" ref="Q23:Q41" si="25">P23*0.8</f>
        <v>203.5</v>
      </c>
      <c r="R23" s="154">
        <f t="shared" ref="R23:R41" si="26">P23*0.8</f>
        <v>203.5</v>
      </c>
      <c r="S23" s="154">
        <f t="shared" ref="S23:S41" si="27">(P23+Q23+R23)*0.032</f>
        <v>21.2</v>
      </c>
      <c r="T23" s="154">
        <f t="shared" ref="T23:T41" si="28">P23+Q23+R23+S23</f>
        <v>682.6</v>
      </c>
      <c r="U23" s="1532"/>
      <c r="V23" s="154">
        <f t="shared" si="5"/>
        <v>682.6</v>
      </c>
      <c r="W23" s="154">
        <f t="shared" si="20"/>
        <v>206.1</v>
      </c>
      <c r="X23" s="276">
        <v>1</v>
      </c>
      <c r="Y23" s="24">
        <v>30</v>
      </c>
      <c r="Z23" s="48">
        <f>X23*Y23</f>
        <v>30</v>
      </c>
      <c r="AA23" s="54">
        <v>1</v>
      </c>
      <c r="AB23" s="24">
        <v>15</v>
      </c>
      <c r="AC23" s="48">
        <f>AA23*AB23</f>
        <v>15</v>
      </c>
      <c r="AD23" s="54"/>
      <c r="AE23" s="24">
        <v>30</v>
      </c>
      <c r="AF23" s="48">
        <f>AD23*AE23</f>
        <v>0</v>
      </c>
      <c r="AG23" s="276">
        <f t="shared" si="0"/>
        <v>13.5</v>
      </c>
      <c r="AH23" s="48">
        <f t="shared" si="1"/>
        <v>58.5</v>
      </c>
      <c r="AI23" s="34">
        <f t="shared" si="2"/>
        <v>56883.3</v>
      </c>
      <c r="AJ23" s="34"/>
      <c r="AK23" s="216">
        <f t="shared" si="3"/>
        <v>682.6</v>
      </c>
      <c r="AL23" s="216">
        <f t="shared" si="6"/>
        <v>241.7</v>
      </c>
      <c r="AM23" s="217">
        <v>0.30199999999999999</v>
      </c>
      <c r="AQ23" s="50">
        <f t="shared" si="7"/>
        <v>0</v>
      </c>
      <c r="AS23" s="66"/>
    </row>
    <row r="24" spans="1:45" x14ac:dyDescent="0.25">
      <c r="A24" s="276">
        <v>17</v>
      </c>
      <c r="B24" s="218" t="s">
        <v>50</v>
      </c>
      <c r="C24" s="54">
        <v>1</v>
      </c>
      <c r="D24" s="177">
        <v>8.4730000000000008</v>
      </c>
      <c r="E24" s="171">
        <f>C24*D24</f>
        <v>8.4700000000000006</v>
      </c>
      <c r="F24" s="154">
        <f t="shared" si="21"/>
        <v>101.6</v>
      </c>
      <c r="G24" s="154"/>
      <c r="H24" s="154">
        <v>0.4</v>
      </c>
      <c r="I24" s="154"/>
      <c r="J24" s="154">
        <f>F24*0.1</f>
        <v>10.199999999999999</v>
      </c>
      <c r="K24" s="154">
        <f>F24*0.4</f>
        <v>40.6</v>
      </c>
      <c r="L24" s="154">
        <f t="shared" si="4"/>
        <v>34.4</v>
      </c>
      <c r="M24" s="154">
        <f t="shared" si="22"/>
        <v>187.2</v>
      </c>
      <c r="N24" s="171">
        <v>0.41</v>
      </c>
      <c r="O24" s="154">
        <f t="shared" si="23"/>
        <v>76.8</v>
      </c>
      <c r="P24" s="154">
        <f t="shared" si="24"/>
        <v>264</v>
      </c>
      <c r="Q24" s="154">
        <f t="shared" si="25"/>
        <v>211.2</v>
      </c>
      <c r="R24" s="154">
        <f t="shared" si="26"/>
        <v>211.2</v>
      </c>
      <c r="S24" s="154">
        <f t="shared" si="27"/>
        <v>22</v>
      </c>
      <c r="T24" s="154">
        <f t="shared" si="28"/>
        <v>708.4</v>
      </c>
      <c r="U24" s="1532"/>
      <c r="V24" s="154">
        <f t="shared" si="5"/>
        <v>708.4</v>
      </c>
      <c r="W24" s="154">
        <f t="shared" si="20"/>
        <v>213.9</v>
      </c>
      <c r="X24" s="276"/>
      <c r="Y24" s="24">
        <v>30</v>
      </c>
      <c r="Z24" s="48">
        <f>X24*Y24</f>
        <v>0</v>
      </c>
      <c r="AA24" s="54"/>
      <c r="AB24" s="24">
        <v>15</v>
      </c>
      <c r="AC24" s="48">
        <f>AA24*AB24</f>
        <v>0</v>
      </c>
      <c r="AD24" s="54"/>
      <c r="AE24" s="24">
        <v>30</v>
      </c>
      <c r="AF24" s="48">
        <f>AD24*AE24</f>
        <v>0</v>
      </c>
      <c r="AG24" s="276">
        <f t="shared" si="0"/>
        <v>0</v>
      </c>
      <c r="AH24" s="48">
        <f t="shared" si="1"/>
        <v>0</v>
      </c>
      <c r="AI24" s="34">
        <f t="shared" si="2"/>
        <v>59033.3</v>
      </c>
      <c r="AJ24" s="34"/>
      <c r="AK24" s="216">
        <f t="shared" si="3"/>
        <v>708.4</v>
      </c>
      <c r="AL24" s="216">
        <f t="shared" si="6"/>
        <v>246.4</v>
      </c>
      <c r="AM24" s="217">
        <v>0.30199999999999999</v>
      </c>
      <c r="AQ24" s="50">
        <f t="shared" si="7"/>
        <v>0</v>
      </c>
      <c r="AS24" s="66"/>
    </row>
    <row r="25" spans="1:45" ht="26.4" x14ac:dyDescent="0.25">
      <c r="A25" s="276">
        <v>18</v>
      </c>
      <c r="B25" s="218" t="s">
        <v>51</v>
      </c>
      <c r="C25" s="54">
        <v>1</v>
      </c>
      <c r="D25" s="177">
        <v>8.4730000000000008</v>
      </c>
      <c r="E25" s="171">
        <f t="shared" ref="E25:E40" si="29">C25*D25</f>
        <v>8.4700000000000006</v>
      </c>
      <c r="F25" s="154">
        <f t="shared" si="21"/>
        <v>101.6</v>
      </c>
      <c r="G25" s="154"/>
      <c r="H25" s="154">
        <v>2.1</v>
      </c>
      <c r="I25" s="154"/>
      <c r="J25" s="154">
        <f>F25*0.1</f>
        <v>10.199999999999999</v>
      </c>
      <c r="K25" s="154">
        <f>F25*0.4</f>
        <v>40.6</v>
      </c>
      <c r="L25" s="154">
        <f t="shared" si="4"/>
        <v>34.4</v>
      </c>
      <c r="M25" s="154">
        <f t="shared" si="22"/>
        <v>188.9</v>
      </c>
      <c r="N25" s="171">
        <v>0.41</v>
      </c>
      <c r="O25" s="154">
        <f t="shared" si="23"/>
        <v>77.400000000000006</v>
      </c>
      <c r="P25" s="154">
        <f t="shared" si="24"/>
        <v>266.3</v>
      </c>
      <c r="Q25" s="154">
        <f t="shared" si="25"/>
        <v>213</v>
      </c>
      <c r="R25" s="154">
        <f t="shared" si="26"/>
        <v>213</v>
      </c>
      <c r="S25" s="154">
        <f t="shared" si="27"/>
        <v>22.2</v>
      </c>
      <c r="T25" s="154">
        <f t="shared" si="28"/>
        <v>714.5</v>
      </c>
      <c r="U25" s="1532"/>
      <c r="V25" s="154">
        <f t="shared" si="5"/>
        <v>714.5</v>
      </c>
      <c r="W25" s="154">
        <f t="shared" si="20"/>
        <v>215.8</v>
      </c>
      <c r="X25" s="276">
        <v>1</v>
      </c>
      <c r="Y25" s="24">
        <v>30</v>
      </c>
      <c r="Z25" s="48">
        <f t="shared" ref="Z25:Z38" si="30">X25*Y25</f>
        <v>30</v>
      </c>
      <c r="AA25" s="54"/>
      <c r="AB25" s="24">
        <v>15</v>
      </c>
      <c r="AC25" s="48">
        <f t="shared" ref="AC25:AC38" si="31">AA25*AB25</f>
        <v>0</v>
      </c>
      <c r="AD25" s="54"/>
      <c r="AE25" s="24">
        <v>30</v>
      </c>
      <c r="AF25" s="48">
        <f t="shared" ref="AF25:AF41" si="32">AD25*AE25</f>
        <v>0</v>
      </c>
      <c r="AG25" s="276">
        <f t="shared" si="0"/>
        <v>9</v>
      </c>
      <c r="AH25" s="48">
        <f t="shared" si="1"/>
        <v>39</v>
      </c>
      <c r="AI25" s="34">
        <f t="shared" si="2"/>
        <v>59541.7</v>
      </c>
      <c r="AJ25" s="34"/>
      <c r="AK25" s="216">
        <f t="shared" si="3"/>
        <v>714.5</v>
      </c>
      <c r="AL25" s="216">
        <f t="shared" si="6"/>
        <v>247.5</v>
      </c>
      <c r="AM25" s="217">
        <v>0.30199999999999999</v>
      </c>
      <c r="AQ25" s="50">
        <f t="shared" si="7"/>
        <v>0</v>
      </c>
      <c r="AS25" s="66"/>
    </row>
    <row r="26" spans="1:45" x14ac:dyDescent="0.25">
      <c r="A26" s="276">
        <v>19</v>
      </c>
      <c r="B26" s="218" t="s">
        <v>52</v>
      </c>
      <c r="C26" s="54">
        <v>1</v>
      </c>
      <c r="D26" s="177">
        <v>8.4730000000000008</v>
      </c>
      <c r="E26" s="171">
        <f t="shared" si="29"/>
        <v>8.4700000000000006</v>
      </c>
      <c r="F26" s="154">
        <f t="shared" si="21"/>
        <v>101.6</v>
      </c>
      <c r="G26" s="154"/>
      <c r="H26" s="154">
        <v>1.4</v>
      </c>
      <c r="I26" s="154"/>
      <c r="J26" s="154"/>
      <c r="K26" s="154">
        <f>D26*0.25*7.7+D26*0.3*4.3</f>
        <v>27.2</v>
      </c>
      <c r="L26" s="154">
        <f t="shared" si="4"/>
        <v>34.4</v>
      </c>
      <c r="M26" s="154">
        <f t="shared" si="22"/>
        <v>164.6</v>
      </c>
      <c r="N26" s="171">
        <v>0.41</v>
      </c>
      <c r="O26" s="154">
        <f t="shared" si="23"/>
        <v>67.5</v>
      </c>
      <c r="P26" s="154">
        <f t="shared" si="24"/>
        <v>232.1</v>
      </c>
      <c r="Q26" s="154">
        <f t="shared" si="25"/>
        <v>185.7</v>
      </c>
      <c r="R26" s="154">
        <f t="shared" si="26"/>
        <v>185.7</v>
      </c>
      <c r="S26" s="154">
        <f t="shared" si="27"/>
        <v>19.3</v>
      </c>
      <c r="T26" s="154">
        <f t="shared" si="28"/>
        <v>622.79999999999995</v>
      </c>
      <c r="U26" s="1532"/>
      <c r="V26" s="154">
        <f t="shared" si="5"/>
        <v>622.79999999999995</v>
      </c>
      <c r="W26" s="154">
        <f t="shared" si="20"/>
        <v>188.1</v>
      </c>
      <c r="X26" s="276">
        <v>1</v>
      </c>
      <c r="Y26" s="24">
        <v>30</v>
      </c>
      <c r="Z26" s="48">
        <f t="shared" si="30"/>
        <v>30</v>
      </c>
      <c r="AA26" s="54"/>
      <c r="AB26" s="24">
        <v>15</v>
      </c>
      <c r="AC26" s="48">
        <f t="shared" si="31"/>
        <v>0</v>
      </c>
      <c r="AD26" s="54"/>
      <c r="AE26" s="24">
        <v>30</v>
      </c>
      <c r="AF26" s="48">
        <f t="shared" si="32"/>
        <v>0</v>
      </c>
      <c r="AG26" s="276">
        <f t="shared" si="0"/>
        <v>9</v>
      </c>
      <c r="AH26" s="48">
        <f t="shared" si="1"/>
        <v>39</v>
      </c>
      <c r="AI26" s="34">
        <f t="shared" si="2"/>
        <v>51900</v>
      </c>
      <c r="AJ26" s="34"/>
      <c r="AK26" s="216">
        <f t="shared" si="3"/>
        <v>622.79999999999995</v>
      </c>
      <c r="AL26" s="216">
        <f t="shared" si="6"/>
        <v>230.8</v>
      </c>
      <c r="AM26" s="217">
        <v>0.30199999999999999</v>
      </c>
      <c r="AQ26" s="50">
        <f t="shared" si="7"/>
        <v>0</v>
      </c>
      <c r="AS26" s="66"/>
    </row>
    <row r="27" spans="1:45" ht="26.25" customHeight="1" x14ac:dyDescent="0.25">
      <c r="A27" s="276">
        <v>20</v>
      </c>
      <c r="B27" s="218" t="s">
        <v>53</v>
      </c>
      <c r="C27" s="49">
        <f>1-0.5</f>
        <v>0.5</v>
      </c>
      <c r="D27" s="177">
        <v>8.4730000000000008</v>
      </c>
      <c r="E27" s="171">
        <f t="shared" si="29"/>
        <v>4.24</v>
      </c>
      <c r="F27" s="154">
        <f t="shared" si="21"/>
        <v>50.9</v>
      </c>
      <c r="G27" s="154"/>
      <c r="H27" s="154"/>
      <c r="I27" s="154"/>
      <c r="J27" s="154"/>
      <c r="K27" s="154"/>
      <c r="L27" s="154">
        <f t="shared" si="4"/>
        <v>17.2</v>
      </c>
      <c r="M27" s="154">
        <f t="shared" si="22"/>
        <v>68.099999999999994</v>
      </c>
      <c r="N27" s="171">
        <v>0.41</v>
      </c>
      <c r="O27" s="154">
        <f t="shared" si="23"/>
        <v>27.9</v>
      </c>
      <c r="P27" s="154">
        <f t="shared" si="24"/>
        <v>96</v>
      </c>
      <c r="Q27" s="154">
        <f t="shared" si="25"/>
        <v>76.8</v>
      </c>
      <c r="R27" s="154">
        <f t="shared" si="26"/>
        <v>76.8</v>
      </c>
      <c r="S27" s="154">
        <f t="shared" si="27"/>
        <v>8</v>
      </c>
      <c r="T27" s="154">
        <f t="shared" si="28"/>
        <v>257.60000000000002</v>
      </c>
      <c r="U27" s="1532"/>
      <c r="V27" s="154">
        <f t="shared" si="5"/>
        <v>257.60000000000002</v>
      </c>
      <c r="W27" s="154">
        <f t="shared" si="20"/>
        <v>77.8</v>
      </c>
      <c r="X27" s="276"/>
      <c r="Y27" s="24">
        <v>30</v>
      </c>
      <c r="Z27" s="48">
        <f t="shared" si="30"/>
        <v>0</v>
      </c>
      <c r="AA27" s="54"/>
      <c r="AB27" s="24">
        <v>15</v>
      </c>
      <c r="AC27" s="48">
        <f t="shared" si="31"/>
        <v>0</v>
      </c>
      <c r="AD27" s="54"/>
      <c r="AE27" s="24">
        <v>30</v>
      </c>
      <c r="AF27" s="48">
        <f t="shared" si="32"/>
        <v>0</v>
      </c>
      <c r="AG27" s="276">
        <f t="shared" si="0"/>
        <v>0</v>
      </c>
      <c r="AH27" s="48">
        <f t="shared" si="1"/>
        <v>0</v>
      </c>
      <c r="AI27" s="34">
        <f t="shared" si="2"/>
        <v>42933.3</v>
      </c>
      <c r="AJ27" s="34"/>
      <c r="AK27" s="216">
        <f t="shared" si="3"/>
        <v>515.20000000000005</v>
      </c>
      <c r="AL27" s="216">
        <f t="shared" si="6"/>
        <v>211.2</v>
      </c>
      <c r="AM27" s="217">
        <v>0.30199999999999999</v>
      </c>
      <c r="AQ27" s="50">
        <f t="shared" si="7"/>
        <v>0</v>
      </c>
      <c r="AS27" s="66"/>
    </row>
    <row r="28" spans="1:45" x14ac:dyDescent="0.25">
      <c r="A28" s="276">
        <v>21</v>
      </c>
      <c r="B28" s="218" t="s">
        <v>54</v>
      </c>
      <c r="C28" s="54">
        <v>1</v>
      </c>
      <c r="D28" s="177">
        <v>11.061999999999999</v>
      </c>
      <c r="E28" s="171">
        <f t="shared" si="29"/>
        <v>11.06</v>
      </c>
      <c r="F28" s="154">
        <f t="shared" si="21"/>
        <v>132.69999999999999</v>
      </c>
      <c r="G28" s="154"/>
      <c r="H28" s="154">
        <v>3.2</v>
      </c>
      <c r="I28" s="154"/>
      <c r="J28" s="154">
        <f>F28*0.1</f>
        <v>13.3</v>
      </c>
      <c r="K28" s="154">
        <f>F28*0.3</f>
        <v>39.799999999999997</v>
      </c>
      <c r="L28" s="154">
        <f t="shared" si="4"/>
        <v>44.9</v>
      </c>
      <c r="M28" s="154">
        <f t="shared" si="22"/>
        <v>233.9</v>
      </c>
      <c r="N28" s="171">
        <v>0.43</v>
      </c>
      <c r="O28" s="154">
        <f t="shared" si="23"/>
        <v>100.6</v>
      </c>
      <c r="P28" s="154">
        <f t="shared" si="24"/>
        <v>334.5</v>
      </c>
      <c r="Q28" s="154">
        <f t="shared" si="25"/>
        <v>267.60000000000002</v>
      </c>
      <c r="R28" s="154">
        <f t="shared" si="26"/>
        <v>267.60000000000002</v>
      </c>
      <c r="S28" s="154">
        <f t="shared" si="27"/>
        <v>27.8</v>
      </c>
      <c r="T28" s="154">
        <f t="shared" si="28"/>
        <v>897.5</v>
      </c>
      <c r="U28" s="1532"/>
      <c r="V28" s="154">
        <f t="shared" si="5"/>
        <v>897.5</v>
      </c>
      <c r="W28" s="154">
        <f>AQ28</f>
        <v>270.2</v>
      </c>
      <c r="X28" s="276"/>
      <c r="Y28" s="24">
        <v>30</v>
      </c>
      <c r="Z28" s="48">
        <f t="shared" si="30"/>
        <v>0</v>
      </c>
      <c r="AA28" s="54"/>
      <c r="AB28" s="24">
        <v>15</v>
      </c>
      <c r="AC28" s="48">
        <f t="shared" si="31"/>
        <v>0</v>
      </c>
      <c r="AD28" s="54"/>
      <c r="AE28" s="24">
        <v>30</v>
      </c>
      <c r="AF28" s="48">
        <f t="shared" si="32"/>
        <v>0</v>
      </c>
      <c r="AG28" s="276">
        <f t="shared" si="0"/>
        <v>0</v>
      </c>
      <c r="AH28" s="48">
        <f>Z28+AC28+AF28+AG28</f>
        <v>0</v>
      </c>
      <c r="AI28" s="34">
        <f t="shared" si="2"/>
        <v>74791.7</v>
      </c>
      <c r="AJ28" s="34"/>
      <c r="AK28" s="216">
        <f t="shared" si="3"/>
        <v>897.5</v>
      </c>
      <c r="AL28" s="216">
        <f t="shared" si="6"/>
        <v>280.8</v>
      </c>
      <c r="AM28" s="217">
        <v>0.30199999999999999</v>
      </c>
      <c r="AN28" s="221">
        <f>AK28*0.22</f>
        <v>197.5</v>
      </c>
      <c r="AO28" s="50">
        <f>865*0.029</f>
        <v>25.1</v>
      </c>
      <c r="AP28" s="50">
        <f>AK28*0.053</f>
        <v>47.6</v>
      </c>
      <c r="AQ28" s="50">
        <f t="shared" si="7"/>
        <v>270.2</v>
      </c>
      <c r="AS28" s="66"/>
    </row>
    <row r="29" spans="1:45" x14ac:dyDescent="0.25">
      <c r="A29" s="276">
        <v>22</v>
      </c>
      <c r="B29" s="218" t="s">
        <v>40</v>
      </c>
      <c r="C29" s="54">
        <v>2</v>
      </c>
      <c r="D29" s="177">
        <v>11.061999999999999</v>
      </c>
      <c r="E29" s="171">
        <f t="shared" si="29"/>
        <v>22.12</v>
      </c>
      <c r="F29" s="154">
        <f t="shared" si="21"/>
        <v>265.39999999999998</v>
      </c>
      <c r="G29" s="154"/>
      <c r="H29" s="154">
        <v>3.2</v>
      </c>
      <c r="I29" s="154"/>
      <c r="J29" s="154"/>
      <c r="K29" s="154">
        <f>D29*0.4*12+D29*0.35*12</f>
        <v>99.6</v>
      </c>
      <c r="L29" s="154">
        <f t="shared" si="4"/>
        <v>89.8</v>
      </c>
      <c r="M29" s="154">
        <f t="shared" si="22"/>
        <v>458</v>
      </c>
      <c r="N29" s="171">
        <v>0.43</v>
      </c>
      <c r="O29" s="154">
        <f t="shared" si="23"/>
        <v>196.9</v>
      </c>
      <c r="P29" s="154">
        <f t="shared" si="24"/>
        <v>654.9</v>
      </c>
      <c r="Q29" s="154">
        <f t="shared" si="25"/>
        <v>523.9</v>
      </c>
      <c r="R29" s="154">
        <f t="shared" si="26"/>
        <v>523.9</v>
      </c>
      <c r="S29" s="154">
        <f t="shared" si="27"/>
        <v>54.5</v>
      </c>
      <c r="T29" s="154">
        <f t="shared" si="28"/>
        <v>1757.2</v>
      </c>
      <c r="U29" s="1532"/>
      <c r="V29" s="154">
        <f t="shared" si="5"/>
        <v>1757.2</v>
      </c>
      <c r="W29" s="154">
        <f>AQ29*C29</f>
        <v>530</v>
      </c>
      <c r="X29" s="276">
        <v>1</v>
      </c>
      <c r="Y29" s="24">
        <v>30</v>
      </c>
      <c r="Z29" s="48">
        <f t="shared" si="30"/>
        <v>30</v>
      </c>
      <c r="AA29" s="54">
        <v>2</v>
      </c>
      <c r="AB29" s="24">
        <v>15</v>
      </c>
      <c r="AC29" s="48">
        <f t="shared" si="31"/>
        <v>30</v>
      </c>
      <c r="AD29" s="54"/>
      <c r="AE29" s="24">
        <v>30</v>
      </c>
      <c r="AF29" s="48">
        <f t="shared" si="32"/>
        <v>0</v>
      </c>
      <c r="AG29" s="276">
        <f t="shared" si="0"/>
        <v>18</v>
      </c>
      <c r="AH29" s="48">
        <f t="shared" ref="AH29:AH41" si="33">Z29+AC29+AF29+AG29</f>
        <v>78</v>
      </c>
      <c r="AI29" s="34">
        <f t="shared" si="2"/>
        <v>73216.7</v>
      </c>
      <c r="AJ29" s="34"/>
      <c r="AK29" s="216">
        <f t="shared" si="3"/>
        <v>878.6</v>
      </c>
      <c r="AL29" s="216">
        <f t="shared" si="6"/>
        <v>277.39999999999998</v>
      </c>
      <c r="AM29" s="217">
        <v>0.30199999999999999</v>
      </c>
      <c r="AN29" s="221">
        <f>AK29*0.22</f>
        <v>193.3</v>
      </c>
      <c r="AO29" s="50">
        <f>865*0.029</f>
        <v>25.1</v>
      </c>
      <c r="AP29" s="50">
        <f>AK29*0.053</f>
        <v>46.6</v>
      </c>
      <c r="AQ29" s="50">
        <f t="shared" si="7"/>
        <v>265</v>
      </c>
      <c r="AS29" s="66"/>
    </row>
    <row r="30" spans="1:45" x14ac:dyDescent="0.25">
      <c r="A30" s="276">
        <v>23</v>
      </c>
      <c r="B30" s="218" t="s">
        <v>55</v>
      </c>
      <c r="C30" s="54">
        <v>1</v>
      </c>
      <c r="D30" s="213">
        <v>8.4730000000000008</v>
      </c>
      <c r="E30" s="171">
        <f t="shared" si="29"/>
        <v>8.4700000000000006</v>
      </c>
      <c r="F30" s="154">
        <f t="shared" si="21"/>
        <v>101.6</v>
      </c>
      <c r="G30" s="154"/>
      <c r="H30" s="154">
        <v>2.1</v>
      </c>
      <c r="I30" s="154"/>
      <c r="J30" s="154">
        <f>F30*0.1</f>
        <v>10.199999999999999</v>
      </c>
      <c r="K30" s="154">
        <f>D30*0.3*12</f>
        <v>30.5</v>
      </c>
      <c r="L30" s="154">
        <f t="shared" si="4"/>
        <v>34.4</v>
      </c>
      <c r="M30" s="154">
        <f t="shared" si="22"/>
        <v>178.8</v>
      </c>
      <c r="N30" s="171">
        <v>0.41</v>
      </c>
      <c r="O30" s="154">
        <f t="shared" si="23"/>
        <v>73.3</v>
      </c>
      <c r="P30" s="154">
        <f t="shared" si="24"/>
        <v>252.1</v>
      </c>
      <c r="Q30" s="154">
        <f t="shared" si="25"/>
        <v>201.7</v>
      </c>
      <c r="R30" s="154">
        <f t="shared" si="26"/>
        <v>201.7</v>
      </c>
      <c r="S30" s="154">
        <f t="shared" si="27"/>
        <v>21</v>
      </c>
      <c r="T30" s="154">
        <f t="shared" si="28"/>
        <v>676.5</v>
      </c>
      <c r="U30" s="1532"/>
      <c r="V30" s="154">
        <f t="shared" si="5"/>
        <v>676.5</v>
      </c>
      <c r="W30" s="154">
        <f t="shared" si="20"/>
        <v>204.3</v>
      </c>
      <c r="X30" s="276">
        <v>1</v>
      </c>
      <c r="Y30" s="24">
        <v>30</v>
      </c>
      <c r="Z30" s="48">
        <f t="shared" si="30"/>
        <v>30</v>
      </c>
      <c r="AA30" s="54">
        <v>1</v>
      </c>
      <c r="AB30" s="24">
        <v>15</v>
      </c>
      <c r="AC30" s="48">
        <f t="shared" si="31"/>
        <v>15</v>
      </c>
      <c r="AD30" s="54">
        <v>1</v>
      </c>
      <c r="AE30" s="24">
        <v>30</v>
      </c>
      <c r="AF30" s="48">
        <f t="shared" si="32"/>
        <v>30</v>
      </c>
      <c r="AG30" s="276">
        <f t="shared" si="0"/>
        <v>22.5</v>
      </c>
      <c r="AH30" s="48">
        <f t="shared" si="33"/>
        <v>97.5</v>
      </c>
      <c r="AI30" s="34">
        <f t="shared" si="2"/>
        <v>56375</v>
      </c>
      <c r="AJ30" s="34"/>
      <c r="AK30" s="216">
        <f t="shared" si="3"/>
        <v>676.5</v>
      </c>
      <c r="AL30" s="216">
        <f t="shared" si="6"/>
        <v>240.6</v>
      </c>
      <c r="AM30" s="217">
        <f>AL30/AK30</f>
        <v>0.35599999999999998</v>
      </c>
      <c r="AN30" s="222"/>
      <c r="AO30" s="50"/>
      <c r="AP30" s="50"/>
      <c r="AQ30" s="50">
        <f t="shared" si="7"/>
        <v>0</v>
      </c>
      <c r="AS30" s="66"/>
    </row>
    <row r="31" spans="1:45" x14ac:dyDescent="0.25">
      <c r="A31" s="276">
        <v>24</v>
      </c>
      <c r="B31" s="218" t="s">
        <v>29</v>
      </c>
      <c r="C31" s="54">
        <v>3</v>
      </c>
      <c r="D31" s="213">
        <v>8.4730000000000008</v>
      </c>
      <c r="E31" s="171">
        <f t="shared" si="29"/>
        <v>25.42</v>
      </c>
      <c r="F31" s="154">
        <f t="shared" si="21"/>
        <v>305</v>
      </c>
      <c r="G31" s="154"/>
      <c r="H31" s="154">
        <v>61.7</v>
      </c>
      <c r="I31" s="154"/>
      <c r="J31" s="154"/>
      <c r="K31" s="154">
        <f>D31*0.3*12+D31*0.05*2</f>
        <v>31.4</v>
      </c>
      <c r="L31" s="154">
        <f t="shared" si="4"/>
        <v>103.2</v>
      </c>
      <c r="M31" s="154">
        <f t="shared" si="22"/>
        <v>501.3</v>
      </c>
      <c r="N31" s="171">
        <v>0.41</v>
      </c>
      <c r="O31" s="154">
        <f t="shared" si="23"/>
        <v>205.5</v>
      </c>
      <c r="P31" s="154">
        <f t="shared" si="24"/>
        <v>706.8</v>
      </c>
      <c r="Q31" s="154">
        <f t="shared" si="25"/>
        <v>565.4</v>
      </c>
      <c r="R31" s="154">
        <f t="shared" si="26"/>
        <v>565.4</v>
      </c>
      <c r="S31" s="154">
        <f t="shared" si="27"/>
        <v>58.8</v>
      </c>
      <c r="T31" s="154">
        <f t="shared" si="28"/>
        <v>1896.4</v>
      </c>
      <c r="U31" s="1532"/>
      <c r="V31" s="154">
        <f t="shared" si="5"/>
        <v>1896.4</v>
      </c>
      <c r="W31" s="154">
        <f t="shared" si="20"/>
        <v>572.70000000000005</v>
      </c>
      <c r="X31" s="276">
        <v>1</v>
      </c>
      <c r="Y31" s="24">
        <v>30</v>
      </c>
      <c r="Z31" s="48">
        <f t="shared" si="30"/>
        <v>30</v>
      </c>
      <c r="AA31" s="54">
        <v>3</v>
      </c>
      <c r="AB31" s="24">
        <v>15</v>
      </c>
      <c r="AC31" s="48">
        <f t="shared" si="31"/>
        <v>45</v>
      </c>
      <c r="AD31" s="54"/>
      <c r="AE31" s="24">
        <v>30</v>
      </c>
      <c r="AF31" s="48">
        <f t="shared" si="32"/>
        <v>0</v>
      </c>
      <c r="AG31" s="276">
        <f t="shared" si="0"/>
        <v>22.5</v>
      </c>
      <c r="AH31" s="48">
        <f t="shared" si="33"/>
        <v>97.5</v>
      </c>
      <c r="AI31" s="34">
        <f t="shared" si="2"/>
        <v>52677.8</v>
      </c>
      <c r="AJ31" s="34"/>
      <c r="AK31" s="216">
        <f t="shared" si="3"/>
        <v>632.1</v>
      </c>
      <c r="AL31" s="216">
        <f t="shared" si="6"/>
        <v>232.5</v>
      </c>
      <c r="AM31" s="217">
        <v>0.30199999999999999</v>
      </c>
      <c r="AN31" s="223"/>
      <c r="AO31" s="62"/>
      <c r="AP31" s="62"/>
      <c r="AQ31" s="50">
        <f t="shared" si="7"/>
        <v>0</v>
      </c>
      <c r="AS31" s="66"/>
    </row>
    <row r="32" spans="1:45" ht="13.5" customHeight="1" x14ac:dyDescent="0.25">
      <c r="A32" s="276">
        <v>25</v>
      </c>
      <c r="B32" s="218" t="s">
        <v>42</v>
      </c>
      <c r="C32" s="54">
        <v>1</v>
      </c>
      <c r="D32" s="177">
        <v>11.061999999999999</v>
      </c>
      <c r="E32" s="171">
        <f t="shared" si="29"/>
        <v>11.06</v>
      </c>
      <c r="F32" s="154">
        <f t="shared" si="21"/>
        <v>132.69999999999999</v>
      </c>
      <c r="G32" s="154"/>
      <c r="H32" s="154">
        <v>4.8</v>
      </c>
      <c r="I32" s="154"/>
      <c r="J32" s="154">
        <f>F32*0.1</f>
        <v>13.3</v>
      </c>
      <c r="K32" s="154">
        <f>D32*0.25*12</f>
        <v>33.200000000000003</v>
      </c>
      <c r="L32" s="154">
        <f t="shared" si="4"/>
        <v>44.9</v>
      </c>
      <c r="M32" s="154">
        <f t="shared" si="22"/>
        <v>228.9</v>
      </c>
      <c r="N32" s="171">
        <v>0.43</v>
      </c>
      <c r="O32" s="154">
        <f t="shared" si="23"/>
        <v>98.4</v>
      </c>
      <c r="P32" s="154">
        <f t="shared" si="24"/>
        <v>327.3</v>
      </c>
      <c r="Q32" s="154">
        <f t="shared" si="25"/>
        <v>261.8</v>
      </c>
      <c r="R32" s="154">
        <f t="shared" si="26"/>
        <v>261.8</v>
      </c>
      <c r="S32" s="154">
        <f t="shared" si="27"/>
        <v>27.2</v>
      </c>
      <c r="T32" s="154">
        <f t="shared" si="28"/>
        <v>878.1</v>
      </c>
      <c r="U32" s="1532"/>
      <c r="V32" s="154">
        <f t="shared" si="5"/>
        <v>878.1</v>
      </c>
      <c r="W32" s="154">
        <f>AQ32</f>
        <v>264.8</v>
      </c>
      <c r="X32" s="276"/>
      <c r="Y32" s="24">
        <v>30</v>
      </c>
      <c r="Z32" s="48">
        <f t="shared" si="30"/>
        <v>0</v>
      </c>
      <c r="AA32" s="54"/>
      <c r="AB32" s="24">
        <v>15</v>
      </c>
      <c r="AC32" s="48">
        <f t="shared" si="31"/>
        <v>0</v>
      </c>
      <c r="AD32" s="54"/>
      <c r="AE32" s="24">
        <v>30</v>
      </c>
      <c r="AF32" s="48">
        <f t="shared" si="32"/>
        <v>0</v>
      </c>
      <c r="AG32" s="276">
        <f t="shared" si="0"/>
        <v>0</v>
      </c>
      <c r="AH32" s="48">
        <f t="shared" si="33"/>
        <v>0</v>
      </c>
      <c r="AI32" s="34">
        <f t="shared" si="2"/>
        <v>73175</v>
      </c>
      <c r="AJ32" s="34"/>
      <c r="AK32" s="216">
        <f t="shared" si="3"/>
        <v>878.1</v>
      </c>
      <c r="AL32" s="216">
        <f t="shared" si="6"/>
        <v>277.3</v>
      </c>
      <c r="AM32" s="217">
        <v>0.30199999999999999</v>
      </c>
      <c r="AN32" s="221">
        <f>AK32*0.22</f>
        <v>193.2</v>
      </c>
      <c r="AO32" s="50">
        <f>865*0.029</f>
        <v>25.1</v>
      </c>
      <c r="AP32" s="50">
        <f>AK32*0.053</f>
        <v>46.5</v>
      </c>
      <c r="AQ32" s="50">
        <f>SUM(AN32:AP32)</f>
        <v>264.8</v>
      </c>
      <c r="AS32" s="66"/>
    </row>
    <row r="33" spans="1:45" ht="26.4" x14ac:dyDescent="0.25">
      <c r="A33" s="276">
        <v>26</v>
      </c>
      <c r="B33" s="218" t="s">
        <v>108</v>
      </c>
      <c r="C33" s="54">
        <v>4</v>
      </c>
      <c r="D33" s="177">
        <v>8.4730000000000008</v>
      </c>
      <c r="E33" s="171">
        <f t="shared" si="29"/>
        <v>33.89</v>
      </c>
      <c r="F33" s="154">
        <f t="shared" si="21"/>
        <v>406.7</v>
      </c>
      <c r="G33" s="154"/>
      <c r="H33" s="154">
        <v>1.2</v>
      </c>
      <c r="I33" s="154"/>
      <c r="J33" s="154"/>
      <c r="K33" s="154">
        <f>D33*0.4*12+D33*0.35*12</f>
        <v>76.3</v>
      </c>
      <c r="L33" s="154">
        <f t="shared" si="4"/>
        <v>137.6</v>
      </c>
      <c r="M33" s="154">
        <f t="shared" si="22"/>
        <v>621.79999999999995</v>
      </c>
      <c r="N33" s="171">
        <v>0.47</v>
      </c>
      <c r="O33" s="154">
        <f t="shared" si="23"/>
        <v>292.2</v>
      </c>
      <c r="P33" s="154">
        <f t="shared" si="24"/>
        <v>914</v>
      </c>
      <c r="Q33" s="154">
        <f t="shared" si="25"/>
        <v>731.2</v>
      </c>
      <c r="R33" s="154">
        <f t="shared" si="26"/>
        <v>731.2</v>
      </c>
      <c r="S33" s="154">
        <f t="shared" si="27"/>
        <v>76</v>
      </c>
      <c r="T33" s="154">
        <f t="shared" si="28"/>
        <v>2452.4</v>
      </c>
      <c r="U33" s="1532"/>
      <c r="V33" s="154">
        <f t="shared" si="5"/>
        <v>2452.4</v>
      </c>
      <c r="W33" s="154">
        <f t="shared" si="20"/>
        <v>740.6</v>
      </c>
      <c r="X33" s="276">
        <v>1</v>
      </c>
      <c r="Y33" s="24">
        <v>30</v>
      </c>
      <c r="Z33" s="48">
        <f t="shared" si="30"/>
        <v>30</v>
      </c>
      <c r="AA33" s="54">
        <v>1</v>
      </c>
      <c r="AB33" s="24">
        <v>15</v>
      </c>
      <c r="AC33" s="48">
        <f t="shared" si="31"/>
        <v>15</v>
      </c>
      <c r="AD33" s="54"/>
      <c r="AE33" s="24">
        <v>30</v>
      </c>
      <c r="AF33" s="48">
        <f t="shared" si="32"/>
        <v>0</v>
      </c>
      <c r="AG33" s="276">
        <f t="shared" si="0"/>
        <v>13.5</v>
      </c>
      <c r="AH33" s="48">
        <f t="shared" si="33"/>
        <v>58.5</v>
      </c>
      <c r="AI33" s="34">
        <f t="shared" si="2"/>
        <v>51091.7</v>
      </c>
      <c r="AJ33" s="34"/>
      <c r="AK33" s="216">
        <f t="shared" si="3"/>
        <v>613.1</v>
      </c>
      <c r="AL33" s="216">
        <f t="shared" si="6"/>
        <v>229.1</v>
      </c>
      <c r="AM33" s="217">
        <v>0.30199999999999999</v>
      </c>
      <c r="AN33" s="223"/>
      <c r="AO33" s="62"/>
      <c r="AP33" s="62"/>
      <c r="AQ33" s="50">
        <f t="shared" si="7"/>
        <v>0</v>
      </c>
      <c r="AS33" s="66"/>
    </row>
    <row r="34" spans="1:45" ht="13.5" customHeight="1" x14ac:dyDescent="0.25">
      <c r="A34" s="276">
        <v>27</v>
      </c>
      <c r="B34" s="218" t="s">
        <v>56</v>
      </c>
      <c r="C34" s="57">
        <v>2</v>
      </c>
      <c r="D34" s="177">
        <v>11.061999999999999</v>
      </c>
      <c r="E34" s="171">
        <f t="shared" si="29"/>
        <v>22.12</v>
      </c>
      <c r="F34" s="154">
        <f t="shared" si="21"/>
        <v>265.39999999999998</v>
      </c>
      <c r="G34" s="154"/>
      <c r="H34" s="154">
        <v>1.1000000000000001</v>
      </c>
      <c r="I34" s="154"/>
      <c r="J34" s="154">
        <f>D34*0.1*2*12</f>
        <v>26.5</v>
      </c>
      <c r="K34" s="154">
        <f>D34*0.4*12+D34*0.25*12</f>
        <v>86.3</v>
      </c>
      <c r="L34" s="154">
        <f t="shared" si="4"/>
        <v>89.8</v>
      </c>
      <c r="M34" s="154">
        <f t="shared" si="22"/>
        <v>469.1</v>
      </c>
      <c r="N34" s="171">
        <v>0.43</v>
      </c>
      <c r="O34" s="154">
        <f t="shared" si="23"/>
        <v>201.7</v>
      </c>
      <c r="P34" s="154">
        <f t="shared" si="24"/>
        <v>670.8</v>
      </c>
      <c r="Q34" s="154">
        <f t="shared" si="25"/>
        <v>536.6</v>
      </c>
      <c r="R34" s="154">
        <f t="shared" si="26"/>
        <v>536.6</v>
      </c>
      <c r="S34" s="154">
        <f t="shared" si="27"/>
        <v>55.8</v>
      </c>
      <c r="T34" s="154">
        <f t="shared" si="28"/>
        <v>1799.8</v>
      </c>
      <c r="U34" s="1532"/>
      <c r="V34" s="154">
        <f t="shared" si="5"/>
        <v>1799.8</v>
      </c>
      <c r="W34" s="154">
        <f>AQ34*C34</f>
        <v>541.6</v>
      </c>
      <c r="X34" s="276">
        <v>2</v>
      </c>
      <c r="Y34" s="24">
        <v>30</v>
      </c>
      <c r="Z34" s="48">
        <f t="shared" si="30"/>
        <v>60</v>
      </c>
      <c r="AA34" s="54">
        <v>2</v>
      </c>
      <c r="AB34" s="24">
        <v>15</v>
      </c>
      <c r="AC34" s="48">
        <f t="shared" si="31"/>
        <v>30</v>
      </c>
      <c r="AD34" s="54"/>
      <c r="AE34" s="24">
        <v>30</v>
      </c>
      <c r="AF34" s="48">
        <f t="shared" si="32"/>
        <v>0</v>
      </c>
      <c r="AG34" s="276">
        <f t="shared" si="0"/>
        <v>27</v>
      </c>
      <c r="AH34" s="48">
        <f t="shared" si="33"/>
        <v>117</v>
      </c>
      <c r="AI34" s="34">
        <f t="shared" si="2"/>
        <v>74991.7</v>
      </c>
      <c r="AJ34" s="34"/>
      <c r="AK34" s="216">
        <f t="shared" si="3"/>
        <v>899.9</v>
      </c>
      <c r="AL34" s="216">
        <f t="shared" si="6"/>
        <v>281.3</v>
      </c>
      <c r="AM34" s="217">
        <v>0.30199999999999999</v>
      </c>
      <c r="AN34" s="221">
        <f>AK34*0.22</f>
        <v>198</v>
      </c>
      <c r="AO34" s="50">
        <f>865*0.029</f>
        <v>25.1</v>
      </c>
      <c r="AP34" s="50">
        <f>AK34*0.053</f>
        <v>47.7</v>
      </c>
      <c r="AQ34" s="50">
        <f>SUM(AN34:AP34)</f>
        <v>270.8</v>
      </c>
      <c r="AS34" s="66"/>
    </row>
    <row r="35" spans="1:45" x14ac:dyDescent="0.25">
      <c r="A35" s="276">
        <v>28</v>
      </c>
      <c r="B35" s="218" t="s">
        <v>101</v>
      </c>
      <c r="C35" s="57">
        <v>1</v>
      </c>
      <c r="D35" s="177">
        <v>11.061999999999999</v>
      </c>
      <c r="E35" s="171">
        <f>C35*D35</f>
        <v>11.06</v>
      </c>
      <c r="F35" s="154">
        <f t="shared" si="21"/>
        <v>132.69999999999999</v>
      </c>
      <c r="G35" s="154"/>
      <c r="H35" s="154">
        <v>4.8</v>
      </c>
      <c r="I35" s="154"/>
      <c r="J35" s="154"/>
      <c r="K35" s="154">
        <f>D35*0.25*12</f>
        <v>33.200000000000003</v>
      </c>
      <c r="L35" s="154">
        <f t="shared" si="4"/>
        <v>44.9</v>
      </c>
      <c r="M35" s="154">
        <f t="shared" si="22"/>
        <v>215.6</v>
      </c>
      <c r="N35" s="171">
        <v>0.43</v>
      </c>
      <c r="O35" s="154">
        <f t="shared" si="23"/>
        <v>92.7</v>
      </c>
      <c r="P35" s="154">
        <f t="shared" si="24"/>
        <v>308.3</v>
      </c>
      <c r="Q35" s="154">
        <f t="shared" si="25"/>
        <v>246.6</v>
      </c>
      <c r="R35" s="154">
        <f t="shared" si="26"/>
        <v>246.6</v>
      </c>
      <c r="S35" s="154">
        <f t="shared" si="27"/>
        <v>25.6</v>
      </c>
      <c r="T35" s="154">
        <f t="shared" si="28"/>
        <v>827.1</v>
      </c>
      <c r="U35" s="1532"/>
      <c r="V35" s="154">
        <f t="shared" si="5"/>
        <v>827.1</v>
      </c>
      <c r="W35" s="154">
        <f t="shared" si="20"/>
        <v>249.8</v>
      </c>
      <c r="X35" s="276">
        <v>1</v>
      </c>
      <c r="Y35" s="24">
        <v>30</v>
      </c>
      <c r="Z35" s="48">
        <f t="shared" si="30"/>
        <v>30</v>
      </c>
      <c r="AA35" s="54"/>
      <c r="AB35" s="24">
        <v>15</v>
      </c>
      <c r="AC35" s="48">
        <f t="shared" si="31"/>
        <v>0</v>
      </c>
      <c r="AD35" s="54"/>
      <c r="AE35" s="24">
        <v>30</v>
      </c>
      <c r="AF35" s="48">
        <f t="shared" si="32"/>
        <v>0</v>
      </c>
      <c r="AG35" s="276">
        <f t="shared" si="0"/>
        <v>9</v>
      </c>
      <c r="AH35" s="48">
        <f t="shared" si="33"/>
        <v>39</v>
      </c>
      <c r="AI35" s="34">
        <f t="shared" si="2"/>
        <v>68925</v>
      </c>
      <c r="AJ35" s="34"/>
      <c r="AK35" s="216">
        <f t="shared" si="3"/>
        <v>827.1</v>
      </c>
      <c r="AL35" s="216">
        <f t="shared" si="6"/>
        <v>268</v>
      </c>
      <c r="AM35" s="217">
        <v>0.30199999999999999</v>
      </c>
      <c r="AN35" s="62"/>
      <c r="AO35" s="62"/>
      <c r="AP35" s="62"/>
      <c r="AQ35" s="50">
        <f t="shared" si="7"/>
        <v>0</v>
      </c>
      <c r="AS35" s="66"/>
    </row>
    <row r="36" spans="1:45" x14ac:dyDescent="0.25">
      <c r="A36" s="276">
        <v>29</v>
      </c>
      <c r="B36" s="218" t="s">
        <v>33</v>
      </c>
      <c r="C36" s="57">
        <v>1</v>
      </c>
      <c r="D36" s="177">
        <v>8.4730000000000008</v>
      </c>
      <c r="E36" s="171">
        <f>C36*D36</f>
        <v>8.4700000000000006</v>
      </c>
      <c r="F36" s="154">
        <f t="shared" si="21"/>
        <v>101.6</v>
      </c>
      <c r="G36" s="154"/>
      <c r="H36" s="154">
        <v>2.9</v>
      </c>
      <c r="I36" s="154"/>
      <c r="J36" s="154"/>
      <c r="K36" s="154"/>
      <c r="L36" s="154">
        <f t="shared" si="4"/>
        <v>34.4</v>
      </c>
      <c r="M36" s="154">
        <f t="shared" si="22"/>
        <v>138.9</v>
      </c>
      <c r="N36" s="171">
        <v>0.41</v>
      </c>
      <c r="O36" s="154">
        <f t="shared" si="23"/>
        <v>56.9</v>
      </c>
      <c r="P36" s="154">
        <f t="shared" si="24"/>
        <v>195.8</v>
      </c>
      <c r="Q36" s="154">
        <f t="shared" si="25"/>
        <v>156.6</v>
      </c>
      <c r="R36" s="154">
        <f t="shared" si="26"/>
        <v>156.6</v>
      </c>
      <c r="S36" s="154">
        <f t="shared" si="27"/>
        <v>16.3</v>
      </c>
      <c r="T36" s="154">
        <f t="shared" si="28"/>
        <v>525.29999999999995</v>
      </c>
      <c r="U36" s="1532"/>
      <c r="V36" s="154">
        <f t="shared" si="5"/>
        <v>525.29999999999995</v>
      </c>
      <c r="W36" s="154">
        <f t="shared" si="20"/>
        <v>158.6</v>
      </c>
      <c r="X36" s="276"/>
      <c r="Y36" s="24">
        <v>30</v>
      </c>
      <c r="Z36" s="48">
        <f t="shared" si="30"/>
        <v>0</v>
      </c>
      <c r="AA36" s="54"/>
      <c r="AB36" s="24">
        <v>15</v>
      </c>
      <c r="AC36" s="48">
        <f t="shared" si="31"/>
        <v>0</v>
      </c>
      <c r="AD36" s="54"/>
      <c r="AE36" s="24">
        <v>30</v>
      </c>
      <c r="AF36" s="48">
        <f t="shared" si="32"/>
        <v>0</v>
      </c>
      <c r="AG36" s="276">
        <f t="shared" si="0"/>
        <v>0</v>
      </c>
      <c r="AH36" s="48">
        <f t="shared" si="33"/>
        <v>0</v>
      </c>
      <c r="AI36" s="34">
        <f t="shared" si="2"/>
        <v>43775</v>
      </c>
      <c r="AJ36" s="34"/>
      <c r="AK36" s="216">
        <f t="shared" si="3"/>
        <v>525.29999999999995</v>
      </c>
      <c r="AL36" s="216">
        <f t="shared" si="6"/>
        <v>213.1</v>
      </c>
      <c r="AM36" s="217">
        <v>0.30199999999999999</v>
      </c>
      <c r="AN36" s="76"/>
      <c r="AO36" s="76"/>
      <c r="AP36" s="76"/>
      <c r="AQ36" s="50">
        <f t="shared" si="7"/>
        <v>0</v>
      </c>
      <c r="AS36" s="66"/>
    </row>
    <row r="37" spans="1:45" ht="26.4" x14ac:dyDescent="0.25">
      <c r="A37" s="276">
        <v>30</v>
      </c>
      <c r="B37" s="218" t="s">
        <v>130</v>
      </c>
      <c r="C37" s="57">
        <v>1</v>
      </c>
      <c r="D37" s="177">
        <v>8.4730000000000008</v>
      </c>
      <c r="E37" s="171">
        <f>C37*D37</f>
        <v>8.4700000000000006</v>
      </c>
      <c r="F37" s="154">
        <f>E37*12</f>
        <v>101.6</v>
      </c>
      <c r="G37" s="154"/>
      <c r="H37" s="154"/>
      <c r="I37" s="154"/>
      <c r="J37" s="154"/>
      <c r="K37" s="154"/>
      <c r="L37" s="154">
        <f t="shared" si="4"/>
        <v>34.4</v>
      </c>
      <c r="M37" s="154">
        <f>F37+G37+H37+I37+J37+K37+L37</f>
        <v>136</v>
      </c>
      <c r="N37" s="171">
        <v>0.47</v>
      </c>
      <c r="O37" s="154">
        <f>M37*N37</f>
        <v>63.9</v>
      </c>
      <c r="P37" s="154">
        <f>M37+O37</f>
        <v>199.9</v>
      </c>
      <c r="Q37" s="154">
        <f>P37*0.8</f>
        <v>159.9</v>
      </c>
      <c r="R37" s="154">
        <f>P37*0.8</f>
        <v>159.9</v>
      </c>
      <c r="S37" s="154">
        <f>(P37+Q37+R37)*0.032</f>
        <v>16.600000000000001</v>
      </c>
      <c r="T37" s="154">
        <f>P37+Q37+R37+S37</f>
        <v>536.29999999999995</v>
      </c>
      <c r="U37" s="1532"/>
      <c r="V37" s="154">
        <f t="shared" si="5"/>
        <v>536.29999999999995</v>
      </c>
      <c r="W37" s="154">
        <f t="shared" si="20"/>
        <v>162</v>
      </c>
      <c r="X37" s="276"/>
      <c r="Y37" s="24">
        <v>30</v>
      </c>
      <c r="Z37" s="48">
        <f>X37*Y37</f>
        <v>0</v>
      </c>
      <c r="AA37" s="54"/>
      <c r="AB37" s="24">
        <v>15</v>
      </c>
      <c r="AC37" s="48">
        <f>AA37*AB37</f>
        <v>0</v>
      </c>
      <c r="AD37" s="54"/>
      <c r="AE37" s="24">
        <v>30</v>
      </c>
      <c r="AF37" s="48">
        <f>AD37*AE37</f>
        <v>0</v>
      </c>
      <c r="AG37" s="276">
        <f t="shared" si="0"/>
        <v>0</v>
      </c>
      <c r="AH37" s="48">
        <f>Z37+AC37+AF37+AG37</f>
        <v>0</v>
      </c>
      <c r="AI37" s="34">
        <f>V37/11/C37*1000</f>
        <v>48754.5</v>
      </c>
      <c r="AJ37" s="34"/>
      <c r="AK37" s="216">
        <f t="shared" si="3"/>
        <v>536.29999999999995</v>
      </c>
      <c r="AL37" s="216">
        <f>((979*0.302)+((AK37-979)*0.182))</f>
        <v>215.1</v>
      </c>
      <c r="AM37" s="217">
        <v>0.30199999999999999</v>
      </c>
      <c r="AN37" s="62"/>
      <c r="AO37" s="62"/>
      <c r="AP37" s="62"/>
      <c r="AQ37" s="50">
        <f t="shared" si="7"/>
        <v>0</v>
      </c>
      <c r="AS37" s="66"/>
    </row>
    <row r="38" spans="1:45" ht="26.4" x14ac:dyDescent="0.25">
      <c r="A38" s="276">
        <v>31</v>
      </c>
      <c r="B38" s="218" t="s">
        <v>109</v>
      </c>
      <c r="C38" s="57">
        <v>1</v>
      </c>
      <c r="D38" s="177">
        <v>4.4569999999999999</v>
      </c>
      <c r="E38" s="171">
        <f t="shared" si="29"/>
        <v>4.46</v>
      </c>
      <c r="F38" s="154">
        <f t="shared" si="21"/>
        <v>53.5</v>
      </c>
      <c r="G38" s="154"/>
      <c r="H38" s="154">
        <v>1.7</v>
      </c>
      <c r="I38" s="154"/>
      <c r="J38" s="154"/>
      <c r="K38" s="154"/>
      <c r="L38" s="154">
        <v>26</v>
      </c>
      <c r="M38" s="154">
        <f t="shared" si="22"/>
        <v>81.2</v>
      </c>
      <c r="N38" s="171">
        <v>0.61</v>
      </c>
      <c r="O38" s="154">
        <f t="shared" si="23"/>
        <v>49.5</v>
      </c>
      <c r="P38" s="154">
        <f t="shared" si="24"/>
        <v>130.69999999999999</v>
      </c>
      <c r="Q38" s="154">
        <f t="shared" si="25"/>
        <v>104.6</v>
      </c>
      <c r="R38" s="154">
        <f t="shared" si="26"/>
        <v>104.6</v>
      </c>
      <c r="S38" s="154">
        <f t="shared" si="27"/>
        <v>10.9</v>
      </c>
      <c r="T38" s="154">
        <f t="shared" si="28"/>
        <v>350.8</v>
      </c>
      <c r="U38" s="1532"/>
      <c r="V38" s="154">
        <f t="shared" si="5"/>
        <v>350.8</v>
      </c>
      <c r="W38" s="154">
        <f t="shared" si="20"/>
        <v>105.9</v>
      </c>
      <c r="X38" s="276">
        <v>1</v>
      </c>
      <c r="Y38" s="24">
        <v>30</v>
      </c>
      <c r="Z38" s="48">
        <f t="shared" si="30"/>
        <v>30</v>
      </c>
      <c r="AA38" s="276">
        <v>1</v>
      </c>
      <c r="AB38" s="24">
        <v>15</v>
      </c>
      <c r="AC38" s="48">
        <f t="shared" si="31"/>
        <v>15</v>
      </c>
      <c r="AD38" s="276"/>
      <c r="AE38" s="24">
        <v>30</v>
      </c>
      <c r="AF38" s="48">
        <f t="shared" si="32"/>
        <v>0</v>
      </c>
      <c r="AG38" s="276">
        <f t="shared" si="0"/>
        <v>13.5</v>
      </c>
      <c r="AH38" s="48">
        <f t="shared" si="33"/>
        <v>58.5</v>
      </c>
      <c r="AI38" s="34">
        <f>V38/12/C38*1000</f>
        <v>29233.3</v>
      </c>
      <c r="AJ38" s="34"/>
      <c r="AK38" s="216">
        <f t="shared" si="3"/>
        <v>350.8</v>
      </c>
      <c r="AL38" s="216">
        <f t="shared" si="6"/>
        <v>181.3</v>
      </c>
      <c r="AM38" s="217">
        <v>0.30199999999999999</v>
      </c>
      <c r="AN38" s="76"/>
      <c r="AO38" s="76"/>
      <c r="AP38" s="76"/>
      <c r="AQ38" s="50">
        <f t="shared" si="7"/>
        <v>0</v>
      </c>
      <c r="AS38" s="66"/>
    </row>
    <row r="39" spans="1:45" ht="15.75" customHeight="1" x14ac:dyDescent="0.25">
      <c r="A39" s="276">
        <v>32</v>
      </c>
      <c r="B39" s="218" t="s">
        <v>57</v>
      </c>
      <c r="C39" s="49">
        <f>2-0.5</f>
        <v>1.5</v>
      </c>
      <c r="D39" s="177">
        <v>4.3769999999999998</v>
      </c>
      <c r="E39" s="171">
        <f t="shared" si="29"/>
        <v>6.57</v>
      </c>
      <c r="F39" s="215">
        <f t="shared" si="21"/>
        <v>78.8</v>
      </c>
      <c r="G39" s="154"/>
      <c r="H39" s="154">
        <v>1.4</v>
      </c>
      <c r="I39" s="154"/>
      <c r="J39" s="154"/>
      <c r="K39" s="154"/>
      <c r="L39" s="154">
        <v>70</v>
      </c>
      <c r="M39" s="154">
        <f t="shared" si="22"/>
        <v>150.19999999999999</v>
      </c>
      <c r="N39" s="171">
        <v>0.49</v>
      </c>
      <c r="O39" s="154">
        <f t="shared" si="23"/>
        <v>73.599999999999994</v>
      </c>
      <c r="P39" s="154">
        <f t="shared" si="24"/>
        <v>223.8</v>
      </c>
      <c r="Q39" s="154">
        <f t="shared" si="25"/>
        <v>179</v>
      </c>
      <c r="R39" s="154">
        <f t="shared" si="26"/>
        <v>179</v>
      </c>
      <c r="S39" s="154">
        <f t="shared" si="27"/>
        <v>18.600000000000001</v>
      </c>
      <c r="T39" s="154">
        <f t="shared" si="28"/>
        <v>600.4</v>
      </c>
      <c r="U39" s="1532"/>
      <c r="V39" s="154">
        <f t="shared" si="5"/>
        <v>600.4</v>
      </c>
      <c r="W39" s="154">
        <f t="shared" si="20"/>
        <v>181.3</v>
      </c>
      <c r="X39" s="276"/>
      <c r="Y39" s="24">
        <v>30</v>
      </c>
      <c r="Z39" s="48">
        <f>X39*Y39</f>
        <v>0</v>
      </c>
      <c r="AA39" s="276"/>
      <c r="AB39" s="24">
        <v>15</v>
      </c>
      <c r="AC39" s="48">
        <f>AA39*AB39</f>
        <v>0</v>
      </c>
      <c r="AD39" s="276"/>
      <c r="AE39" s="24">
        <v>30</v>
      </c>
      <c r="AF39" s="48">
        <f t="shared" si="32"/>
        <v>0</v>
      </c>
      <c r="AG39" s="276">
        <f t="shared" si="0"/>
        <v>0</v>
      </c>
      <c r="AH39" s="48">
        <f t="shared" si="33"/>
        <v>0</v>
      </c>
      <c r="AI39" s="34">
        <f>V39/12/C39*1000</f>
        <v>33355.599999999999</v>
      </c>
      <c r="AJ39" s="34"/>
      <c r="AK39" s="216">
        <f t="shared" si="3"/>
        <v>400.3</v>
      </c>
      <c r="AL39" s="216">
        <f t="shared" si="6"/>
        <v>190.3</v>
      </c>
      <c r="AM39" s="217">
        <v>0.30199999999999999</v>
      </c>
      <c r="AN39" s="76"/>
      <c r="AO39" s="76"/>
      <c r="AP39" s="76"/>
      <c r="AQ39" s="50">
        <f t="shared" si="7"/>
        <v>0</v>
      </c>
      <c r="AS39" s="66"/>
    </row>
    <row r="40" spans="1:45" x14ac:dyDescent="0.25">
      <c r="A40" s="276">
        <v>33</v>
      </c>
      <c r="B40" s="218" t="s">
        <v>92</v>
      </c>
      <c r="C40" s="224">
        <v>1</v>
      </c>
      <c r="D40" s="177">
        <v>4.3769999999999998</v>
      </c>
      <c r="E40" s="171">
        <f t="shared" si="29"/>
        <v>4.38</v>
      </c>
      <c r="F40" s="154">
        <f t="shared" si="21"/>
        <v>52.6</v>
      </c>
      <c r="G40" s="154"/>
      <c r="H40" s="154">
        <f>2773.8/1000</f>
        <v>2.8</v>
      </c>
      <c r="I40" s="154"/>
      <c r="J40" s="154"/>
      <c r="K40" s="154"/>
      <c r="L40" s="154">
        <v>38.1</v>
      </c>
      <c r="M40" s="154">
        <f t="shared" si="22"/>
        <v>93.5</v>
      </c>
      <c r="N40" s="171">
        <v>0.47</v>
      </c>
      <c r="O40" s="154">
        <f t="shared" si="23"/>
        <v>43.9</v>
      </c>
      <c r="P40" s="154">
        <f t="shared" si="24"/>
        <v>137.4</v>
      </c>
      <c r="Q40" s="154">
        <f t="shared" si="25"/>
        <v>109.9</v>
      </c>
      <c r="R40" s="154">
        <f t="shared" si="26"/>
        <v>109.9</v>
      </c>
      <c r="S40" s="154">
        <f t="shared" si="27"/>
        <v>11.4</v>
      </c>
      <c r="T40" s="154">
        <f t="shared" si="28"/>
        <v>368.6</v>
      </c>
      <c r="U40" s="1532"/>
      <c r="V40" s="154">
        <f t="shared" si="5"/>
        <v>368.6</v>
      </c>
      <c r="W40" s="154">
        <f t="shared" si="20"/>
        <v>111.3</v>
      </c>
      <c r="X40" s="276">
        <v>1</v>
      </c>
      <c r="Y40" s="24">
        <v>30</v>
      </c>
      <c r="Z40" s="48">
        <f>X40*Y40</f>
        <v>30</v>
      </c>
      <c r="AA40" s="276"/>
      <c r="AB40" s="24">
        <v>15</v>
      </c>
      <c r="AC40" s="48">
        <f>AA40*AB40</f>
        <v>0</v>
      </c>
      <c r="AD40" s="276"/>
      <c r="AE40" s="24">
        <v>30</v>
      </c>
      <c r="AF40" s="48">
        <f t="shared" si="32"/>
        <v>0</v>
      </c>
      <c r="AG40" s="276">
        <f t="shared" si="0"/>
        <v>9</v>
      </c>
      <c r="AH40" s="48">
        <f t="shared" si="33"/>
        <v>39</v>
      </c>
      <c r="AI40" s="34">
        <f>V40/12/C40*1000</f>
        <v>30716.7</v>
      </c>
      <c r="AJ40" s="34"/>
      <c r="AK40" s="216">
        <f t="shared" si="3"/>
        <v>368.6</v>
      </c>
      <c r="AL40" s="216">
        <f t="shared" si="6"/>
        <v>184.6</v>
      </c>
      <c r="AM40" s="217">
        <v>0.30199999999999999</v>
      </c>
      <c r="AN40" s="76"/>
      <c r="AO40" s="76"/>
      <c r="AP40" s="76"/>
      <c r="AQ40" s="50">
        <f t="shared" si="7"/>
        <v>0</v>
      </c>
      <c r="AS40" s="66"/>
    </row>
    <row r="41" spans="1:45" x14ac:dyDescent="0.25">
      <c r="A41" s="276">
        <v>34</v>
      </c>
      <c r="B41" s="218" t="s">
        <v>102</v>
      </c>
      <c r="C41" s="58">
        <v>2</v>
      </c>
      <c r="D41" s="177">
        <v>4.3769999999999998</v>
      </c>
      <c r="E41" s="171">
        <f>C41*D41</f>
        <v>8.75</v>
      </c>
      <c r="F41" s="215">
        <f t="shared" si="21"/>
        <v>105</v>
      </c>
      <c r="G41" s="154"/>
      <c r="H41" s="154">
        <v>3.3</v>
      </c>
      <c r="I41" s="154"/>
      <c r="J41" s="154"/>
      <c r="K41" s="154"/>
      <c r="L41" s="154">
        <v>70</v>
      </c>
      <c r="M41" s="154">
        <f t="shared" si="22"/>
        <v>178.3</v>
      </c>
      <c r="N41" s="171">
        <v>0.49</v>
      </c>
      <c r="O41" s="154">
        <f t="shared" si="23"/>
        <v>87.4</v>
      </c>
      <c r="P41" s="154">
        <f t="shared" si="24"/>
        <v>265.7</v>
      </c>
      <c r="Q41" s="154">
        <f t="shared" si="25"/>
        <v>212.6</v>
      </c>
      <c r="R41" s="154">
        <f t="shared" si="26"/>
        <v>212.6</v>
      </c>
      <c r="S41" s="154">
        <f t="shared" si="27"/>
        <v>22.1</v>
      </c>
      <c r="T41" s="154">
        <f t="shared" si="28"/>
        <v>713</v>
      </c>
      <c r="U41" s="1532"/>
      <c r="V41" s="154">
        <f t="shared" si="5"/>
        <v>713</v>
      </c>
      <c r="W41" s="154">
        <f t="shared" si="20"/>
        <v>215.3</v>
      </c>
      <c r="X41" s="276">
        <v>1</v>
      </c>
      <c r="Y41" s="24">
        <v>30</v>
      </c>
      <c r="Z41" s="48">
        <f>X41*Y41</f>
        <v>30</v>
      </c>
      <c r="AA41" s="276"/>
      <c r="AB41" s="24">
        <v>15</v>
      </c>
      <c r="AC41" s="48">
        <f>AA41*AB41</f>
        <v>0</v>
      </c>
      <c r="AD41" s="276"/>
      <c r="AE41" s="24">
        <v>30</v>
      </c>
      <c r="AF41" s="48">
        <f t="shared" si="32"/>
        <v>0</v>
      </c>
      <c r="AG41" s="276">
        <f t="shared" si="0"/>
        <v>9</v>
      </c>
      <c r="AH41" s="48">
        <f t="shared" si="33"/>
        <v>39</v>
      </c>
      <c r="AI41" s="34">
        <f>V41/12/C41*1000</f>
        <v>29708.3</v>
      </c>
      <c r="AJ41" s="34"/>
      <c r="AK41" s="216">
        <f t="shared" si="3"/>
        <v>356.5</v>
      </c>
      <c r="AL41" s="216">
        <f t="shared" si="6"/>
        <v>182.4</v>
      </c>
      <c r="AM41" s="217">
        <v>0.30199999999999999</v>
      </c>
      <c r="AN41" s="76"/>
      <c r="AO41" s="76"/>
      <c r="AP41" s="76"/>
      <c r="AQ41" s="50">
        <f t="shared" si="7"/>
        <v>0</v>
      </c>
      <c r="AS41" s="66"/>
    </row>
    <row r="42" spans="1:45" x14ac:dyDescent="0.25">
      <c r="A42" s="225" t="s">
        <v>126</v>
      </c>
      <c r="B42" s="218"/>
      <c r="C42" s="58"/>
      <c r="D42" s="177"/>
      <c r="E42" s="171"/>
      <c r="F42" s="215"/>
      <c r="G42" s="154"/>
      <c r="H42" s="154"/>
      <c r="I42" s="154"/>
      <c r="J42" s="154"/>
      <c r="K42" s="154"/>
      <c r="L42" s="154"/>
      <c r="M42" s="154"/>
      <c r="N42" s="171"/>
      <c r="O42" s="154"/>
      <c r="P42" s="154"/>
      <c r="Q42" s="154"/>
      <c r="R42" s="154"/>
      <c r="S42" s="154"/>
      <c r="T42" s="154"/>
      <c r="U42" s="1532"/>
      <c r="V42" s="154"/>
      <c r="W42" s="154">
        <f t="shared" si="20"/>
        <v>0</v>
      </c>
      <c r="X42" s="276"/>
      <c r="Y42" s="24"/>
      <c r="Z42" s="48"/>
      <c r="AA42" s="276"/>
      <c r="AB42" s="24"/>
      <c r="AC42" s="48"/>
      <c r="AD42" s="276"/>
      <c r="AE42" s="24"/>
      <c r="AF42" s="48"/>
      <c r="AG42" s="276">
        <f t="shared" si="0"/>
        <v>0</v>
      </c>
      <c r="AH42" s="48"/>
      <c r="AJ42" s="34"/>
      <c r="AK42" s="216"/>
      <c r="AL42" s="216"/>
      <c r="AM42" s="217"/>
      <c r="AN42" s="76"/>
      <c r="AO42" s="76"/>
      <c r="AP42" s="76"/>
      <c r="AQ42" s="50">
        <f t="shared" si="7"/>
        <v>0</v>
      </c>
      <c r="AS42" s="66"/>
    </row>
    <row r="43" spans="1:45" x14ac:dyDescent="0.25">
      <c r="A43" s="276">
        <v>35</v>
      </c>
      <c r="B43" s="52" t="s">
        <v>17</v>
      </c>
      <c r="C43" s="276">
        <v>1</v>
      </c>
      <c r="D43" s="177">
        <v>12.335000000000001</v>
      </c>
      <c r="E43" s="226">
        <f>C43*D43</f>
        <v>12.34</v>
      </c>
      <c r="F43" s="227">
        <f>E43*12</f>
        <v>148.1</v>
      </c>
      <c r="G43" s="154"/>
      <c r="H43" s="154">
        <v>1.3</v>
      </c>
      <c r="I43" s="154"/>
      <c r="J43" s="154"/>
      <c r="K43" s="154">
        <f>F43*0.4</f>
        <v>59.2</v>
      </c>
      <c r="L43" s="154">
        <f t="shared" si="4"/>
        <v>50.1</v>
      </c>
      <c r="M43" s="154">
        <f>F43+G43+H43+I43+J43+K43+L43</f>
        <v>258.7</v>
      </c>
      <c r="N43" s="171">
        <v>0.47</v>
      </c>
      <c r="O43" s="154">
        <f>M43*N43</f>
        <v>121.6</v>
      </c>
      <c r="P43" s="154">
        <f>M43+O43</f>
        <v>380.3</v>
      </c>
      <c r="Q43" s="154">
        <f>P43*0.8</f>
        <v>304.2</v>
      </c>
      <c r="R43" s="154">
        <f>P43*0.8</f>
        <v>304.2</v>
      </c>
      <c r="S43" s="154">
        <f>(P43+Q43+R43)*0.032</f>
        <v>31.6</v>
      </c>
      <c r="T43" s="154">
        <f>P43+Q43+R43+S43</f>
        <v>1020.3</v>
      </c>
      <c r="U43" s="1532"/>
      <c r="V43" s="154">
        <f t="shared" si="5"/>
        <v>1020.3</v>
      </c>
      <c r="W43" s="154">
        <f>AQ43</f>
        <v>303.7</v>
      </c>
      <c r="X43" s="276">
        <v>1</v>
      </c>
      <c r="Y43" s="24">
        <v>35</v>
      </c>
      <c r="Z43" s="48">
        <f>X43*Y43</f>
        <v>35</v>
      </c>
      <c r="AA43" s="276"/>
      <c r="AB43" s="24">
        <v>17.5</v>
      </c>
      <c r="AC43" s="48">
        <f>AA43*AB43</f>
        <v>0</v>
      </c>
      <c r="AD43" s="276"/>
      <c r="AE43" s="24">
        <v>35</v>
      </c>
      <c r="AF43" s="48">
        <f>AD43*AE43</f>
        <v>0</v>
      </c>
      <c r="AG43" s="276">
        <f t="shared" si="0"/>
        <v>10.5</v>
      </c>
      <c r="AH43" s="48">
        <f>Z43+AC43+AF43+AG43</f>
        <v>45.5</v>
      </c>
      <c r="AI43" s="39">
        <f t="shared" ref="AI43:AI51" si="34">V43/12/C43*1000</f>
        <v>85025</v>
      </c>
      <c r="AJ43" s="34"/>
      <c r="AK43" s="34">
        <f t="shared" ref="AK43:AK51" si="35">V43/C43</f>
        <v>1020.3</v>
      </c>
      <c r="AL43" s="34">
        <f>((979*0.302)+((AK43-979)*0.182))</f>
        <v>303.2</v>
      </c>
      <c r="AM43" s="51">
        <f>AL43/AK43</f>
        <v>0.29699999999999999</v>
      </c>
      <c r="AN43" s="50">
        <f>AK43*0.22</f>
        <v>224.5</v>
      </c>
      <c r="AO43" s="50">
        <f>865*0.029</f>
        <v>25.1</v>
      </c>
      <c r="AP43" s="50">
        <f>AK43*0.053</f>
        <v>54.1</v>
      </c>
      <c r="AQ43" s="50">
        <f t="shared" si="7"/>
        <v>303.7</v>
      </c>
      <c r="AR43" s="51"/>
    </row>
    <row r="44" spans="1:45" x14ac:dyDescent="0.25">
      <c r="A44" s="276">
        <v>36</v>
      </c>
      <c r="B44" s="52" t="s">
        <v>38</v>
      </c>
      <c r="C44" s="167">
        <f>2-0.25</f>
        <v>1.75</v>
      </c>
      <c r="D44" s="177">
        <v>6.2859999999999996</v>
      </c>
      <c r="E44" s="171">
        <f t="shared" ref="E44:E51" si="36">C44*D44</f>
        <v>11</v>
      </c>
      <c r="F44" s="154">
        <f t="shared" ref="F44:F51" si="37">E44*12</f>
        <v>132</v>
      </c>
      <c r="G44" s="154">
        <f>74.5/1000</f>
        <v>0.1</v>
      </c>
      <c r="H44" s="154">
        <v>2</v>
      </c>
      <c r="I44" s="154"/>
      <c r="J44" s="154"/>
      <c r="K44" s="154"/>
      <c r="L44" s="154">
        <f t="shared" si="4"/>
        <v>44.7</v>
      </c>
      <c r="M44" s="154">
        <f t="shared" ref="M44:M51" si="38">F44+G44+H44+I44+J44+K44+L44</f>
        <v>178.8</v>
      </c>
      <c r="N44" s="171">
        <v>0.45</v>
      </c>
      <c r="O44" s="154">
        <f t="shared" ref="O44:O51" si="39">M44*N44</f>
        <v>80.5</v>
      </c>
      <c r="P44" s="154">
        <f t="shared" ref="P44:P51" si="40">M44+O44</f>
        <v>259.3</v>
      </c>
      <c r="Q44" s="154">
        <f t="shared" ref="Q44:Q51" si="41">P44*0.8</f>
        <v>207.4</v>
      </c>
      <c r="R44" s="154">
        <f t="shared" ref="R44:R51" si="42">P44*0.8</f>
        <v>207.4</v>
      </c>
      <c r="S44" s="154">
        <f t="shared" ref="S44:S51" si="43">(P44+Q44+R44)*0.032</f>
        <v>21.6</v>
      </c>
      <c r="T44" s="154">
        <f t="shared" ref="T44:T51" si="44">P44+Q44+R44+S44</f>
        <v>695.7</v>
      </c>
      <c r="U44" s="1532"/>
      <c r="V44" s="154">
        <f t="shared" si="5"/>
        <v>695.7</v>
      </c>
      <c r="W44" s="154">
        <f t="shared" si="20"/>
        <v>210.1</v>
      </c>
      <c r="X44" s="276">
        <v>1</v>
      </c>
      <c r="Y44" s="24">
        <v>35</v>
      </c>
      <c r="Z44" s="48">
        <f t="shared" ref="Z44:Z51" si="45">X44*Y44</f>
        <v>35</v>
      </c>
      <c r="AA44" s="54"/>
      <c r="AB44" s="24">
        <v>17.5</v>
      </c>
      <c r="AC44" s="48">
        <f t="shared" ref="AC44:AC51" si="46">AA44*AB44</f>
        <v>0</v>
      </c>
      <c r="AD44" s="54"/>
      <c r="AE44" s="24">
        <v>35</v>
      </c>
      <c r="AF44" s="48">
        <f t="shared" ref="AF44:AF51" si="47">AD44*AE44</f>
        <v>0</v>
      </c>
      <c r="AG44" s="276">
        <f t="shared" si="0"/>
        <v>10.5</v>
      </c>
      <c r="AH44" s="48">
        <f t="shared" ref="AH44:AH51" si="48">Z44+AC44+AF44+AG44</f>
        <v>45.5</v>
      </c>
      <c r="AI44" s="39">
        <f t="shared" si="34"/>
        <v>33128.57</v>
      </c>
      <c r="AJ44" s="34"/>
      <c r="AK44" s="34">
        <f t="shared" si="35"/>
        <v>397.5</v>
      </c>
      <c r="AL44" s="34">
        <f t="shared" ref="AL44:AL51" si="49">((979*0.302)+((AK44-979)*0.182))</f>
        <v>189.8</v>
      </c>
      <c r="AM44" s="51">
        <v>0.30199999999999999</v>
      </c>
      <c r="AN44" s="50"/>
      <c r="AO44" s="50"/>
      <c r="AP44" s="50"/>
      <c r="AQ44" s="50">
        <f t="shared" si="7"/>
        <v>0</v>
      </c>
      <c r="AR44" s="51"/>
    </row>
    <row r="45" spans="1:45" ht="12" customHeight="1" x14ac:dyDescent="0.25">
      <c r="A45" s="276">
        <v>37</v>
      </c>
      <c r="B45" s="44" t="s">
        <v>104</v>
      </c>
      <c r="C45" s="54">
        <v>1</v>
      </c>
      <c r="D45" s="177">
        <v>8.4730000000000008</v>
      </c>
      <c r="E45" s="171">
        <f t="shared" si="36"/>
        <v>8.4700000000000006</v>
      </c>
      <c r="F45" s="154">
        <f t="shared" si="37"/>
        <v>101.6</v>
      </c>
      <c r="G45" s="154"/>
      <c r="H45" s="154"/>
      <c r="I45" s="154"/>
      <c r="J45" s="154"/>
      <c r="K45" s="154"/>
      <c r="L45" s="154">
        <f t="shared" si="4"/>
        <v>34.4</v>
      </c>
      <c r="M45" s="154">
        <f t="shared" si="38"/>
        <v>136</v>
      </c>
      <c r="N45" s="171">
        <v>0.41</v>
      </c>
      <c r="O45" s="154">
        <f t="shared" si="39"/>
        <v>55.8</v>
      </c>
      <c r="P45" s="154">
        <f t="shared" si="40"/>
        <v>191.8</v>
      </c>
      <c r="Q45" s="154">
        <f t="shared" si="41"/>
        <v>153.4</v>
      </c>
      <c r="R45" s="154">
        <f t="shared" si="42"/>
        <v>153.4</v>
      </c>
      <c r="S45" s="154">
        <f t="shared" si="43"/>
        <v>16</v>
      </c>
      <c r="T45" s="154">
        <f t="shared" si="44"/>
        <v>514.6</v>
      </c>
      <c r="U45" s="1532"/>
      <c r="V45" s="154">
        <f t="shared" si="5"/>
        <v>514.6</v>
      </c>
      <c r="W45" s="154">
        <f t="shared" si="20"/>
        <v>155.4</v>
      </c>
      <c r="X45" s="276">
        <v>1</v>
      </c>
      <c r="Y45" s="24">
        <v>35</v>
      </c>
      <c r="Z45" s="48">
        <f t="shared" si="45"/>
        <v>35</v>
      </c>
      <c r="AA45" s="54"/>
      <c r="AB45" s="24">
        <v>17.5</v>
      </c>
      <c r="AC45" s="48">
        <f t="shared" si="46"/>
        <v>0</v>
      </c>
      <c r="AD45" s="54">
        <v>1</v>
      </c>
      <c r="AE45" s="24">
        <v>35</v>
      </c>
      <c r="AF45" s="48">
        <f t="shared" si="47"/>
        <v>35</v>
      </c>
      <c r="AG45" s="276">
        <f t="shared" si="0"/>
        <v>21</v>
      </c>
      <c r="AH45" s="48">
        <f t="shared" si="48"/>
        <v>91</v>
      </c>
      <c r="AI45" s="39">
        <f t="shared" si="34"/>
        <v>42883.33</v>
      </c>
      <c r="AJ45" s="34"/>
      <c r="AK45" s="34">
        <f t="shared" si="35"/>
        <v>514.6</v>
      </c>
      <c r="AL45" s="34">
        <f t="shared" si="49"/>
        <v>211.1</v>
      </c>
      <c r="AM45" s="51">
        <v>0.30199999999999999</v>
      </c>
      <c r="AN45" s="50"/>
      <c r="AO45" s="50"/>
      <c r="AP45" s="50"/>
      <c r="AQ45" s="50">
        <f t="shared" si="7"/>
        <v>0</v>
      </c>
      <c r="AR45" s="51"/>
    </row>
    <row r="46" spans="1:45" x14ac:dyDescent="0.25">
      <c r="A46" s="276">
        <v>38</v>
      </c>
      <c r="B46" s="52" t="s">
        <v>39</v>
      </c>
      <c r="C46" s="24">
        <v>0.5</v>
      </c>
      <c r="D46" s="177">
        <v>6.2859999999999996</v>
      </c>
      <c r="E46" s="171">
        <f t="shared" si="36"/>
        <v>3.14</v>
      </c>
      <c r="F46" s="154">
        <f t="shared" si="37"/>
        <v>37.700000000000003</v>
      </c>
      <c r="G46" s="154"/>
      <c r="H46" s="154">
        <f>1106.5/1000</f>
        <v>1.1000000000000001</v>
      </c>
      <c r="I46" s="154"/>
      <c r="J46" s="154"/>
      <c r="K46" s="154"/>
      <c r="L46" s="154">
        <f>F46*$L$4</f>
        <v>12.8</v>
      </c>
      <c r="M46" s="154">
        <f t="shared" si="38"/>
        <v>51.6</v>
      </c>
      <c r="N46" s="171">
        <v>0.45</v>
      </c>
      <c r="O46" s="154">
        <f t="shared" si="39"/>
        <v>23.2</v>
      </c>
      <c r="P46" s="154">
        <f t="shared" si="40"/>
        <v>74.8</v>
      </c>
      <c r="Q46" s="154">
        <f t="shared" si="41"/>
        <v>59.8</v>
      </c>
      <c r="R46" s="154">
        <f t="shared" si="42"/>
        <v>59.8</v>
      </c>
      <c r="S46" s="154">
        <f t="shared" si="43"/>
        <v>6.2</v>
      </c>
      <c r="T46" s="154">
        <f t="shared" si="44"/>
        <v>200.6</v>
      </c>
      <c r="U46" s="1532"/>
      <c r="V46" s="154">
        <f t="shared" si="5"/>
        <v>200.6</v>
      </c>
      <c r="W46" s="154">
        <f t="shared" si="20"/>
        <v>60.6</v>
      </c>
      <c r="X46" s="276"/>
      <c r="Y46" s="24">
        <v>35</v>
      </c>
      <c r="Z46" s="48">
        <f t="shared" si="45"/>
        <v>0</v>
      </c>
      <c r="AA46" s="54"/>
      <c r="AB46" s="24">
        <v>17.5</v>
      </c>
      <c r="AC46" s="48">
        <f t="shared" si="46"/>
        <v>0</v>
      </c>
      <c r="AD46" s="54"/>
      <c r="AE46" s="24">
        <v>35</v>
      </c>
      <c r="AF46" s="48">
        <f t="shared" si="47"/>
        <v>0</v>
      </c>
      <c r="AG46" s="276">
        <f t="shared" si="0"/>
        <v>0</v>
      </c>
      <c r="AH46" s="48">
        <f t="shared" si="48"/>
        <v>0</v>
      </c>
      <c r="AI46" s="39">
        <f t="shared" si="34"/>
        <v>33433.33</v>
      </c>
      <c r="AJ46" s="34"/>
      <c r="AK46" s="34">
        <f t="shared" si="35"/>
        <v>401.2</v>
      </c>
      <c r="AL46" s="34">
        <f t="shared" si="49"/>
        <v>190.5</v>
      </c>
      <c r="AM46" s="51">
        <v>0.30199999999999999</v>
      </c>
      <c r="AQ46" s="50">
        <f t="shared" si="7"/>
        <v>0</v>
      </c>
      <c r="AR46" s="51"/>
    </row>
    <row r="47" spans="1:45" x14ac:dyDescent="0.25">
      <c r="A47" s="276">
        <v>39</v>
      </c>
      <c r="B47" s="218" t="s">
        <v>40</v>
      </c>
      <c r="C47" s="54">
        <v>1</v>
      </c>
      <c r="D47" s="177">
        <v>11.061999999999999</v>
      </c>
      <c r="E47" s="171">
        <f t="shared" si="36"/>
        <v>11.06</v>
      </c>
      <c r="F47" s="154">
        <f t="shared" si="37"/>
        <v>132.69999999999999</v>
      </c>
      <c r="G47" s="228">
        <f>131.07/1000</f>
        <v>0.13</v>
      </c>
      <c r="H47" s="154">
        <v>2.1</v>
      </c>
      <c r="I47" s="154"/>
      <c r="J47" s="154"/>
      <c r="K47" s="154">
        <f>D47*2*0.2</f>
        <v>4.4000000000000004</v>
      </c>
      <c r="L47" s="154">
        <f t="shared" si="4"/>
        <v>44.9</v>
      </c>
      <c r="M47" s="154">
        <f t="shared" si="38"/>
        <v>184.2</v>
      </c>
      <c r="N47" s="171">
        <v>0.43</v>
      </c>
      <c r="O47" s="154">
        <f t="shared" si="39"/>
        <v>79.2</v>
      </c>
      <c r="P47" s="154">
        <f t="shared" si="40"/>
        <v>263.39999999999998</v>
      </c>
      <c r="Q47" s="154">
        <f t="shared" si="41"/>
        <v>210.7</v>
      </c>
      <c r="R47" s="154">
        <f t="shared" si="42"/>
        <v>210.7</v>
      </c>
      <c r="S47" s="154">
        <f t="shared" si="43"/>
        <v>21.9</v>
      </c>
      <c r="T47" s="154">
        <f t="shared" si="44"/>
        <v>706.7</v>
      </c>
      <c r="U47" s="1532"/>
      <c r="V47" s="154">
        <f t="shared" si="5"/>
        <v>706.7</v>
      </c>
      <c r="W47" s="154">
        <f t="shared" si="20"/>
        <v>213.4</v>
      </c>
      <c r="X47" s="276"/>
      <c r="Y47" s="24">
        <v>35</v>
      </c>
      <c r="Z47" s="48">
        <f t="shared" si="45"/>
        <v>0</v>
      </c>
      <c r="AA47" s="54"/>
      <c r="AB47" s="24">
        <v>17.5</v>
      </c>
      <c r="AC47" s="48">
        <f t="shared" si="46"/>
        <v>0</v>
      </c>
      <c r="AD47" s="54"/>
      <c r="AE47" s="24">
        <v>35</v>
      </c>
      <c r="AF47" s="48">
        <f t="shared" si="47"/>
        <v>0</v>
      </c>
      <c r="AG47" s="276">
        <f t="shared" si="0"/>
        <v>0</v>
      </c>
      <c r="AH47" s="48">
        <f t="shared" si="48"/>
        <v>0</v>
      </c>
      <c r="AI47" s="39">
        <f t="shared" si="34"/>
        <v>58891.67</v>
      </c>
      <c r="AJ47" s="34"/>
      <c r="AK47" s="34">
        <f t="shared" si="35"/>
        <v>706.7</v>
      </c>
      <c r="AL47" s="34">
        <f t="shared" si="49"/>
        <v>246.1</v>
      </c>
      <c r="AM47" s="51">
        <v>0.30199999999999999</v>
      </c>
      <c r="AN47" s="50"/>
      <c r="AO47" s="50"/>
      <c r="AP47" s="50"/>
      <c r="AQ47" s="50">
        <f t="shared" si="7"/>
        <v>0</v>
      </c>
      <c r="AR47" s="51"/>
    </row>
    <row r="48" spans="1:45" x14ac:dyDescent="0.25">
      <c r="A48" s="276">
        <v>40</v>
      </c>
      <c r="B48" s="218" t="s">
        <v>41</v>
      </c>
      <c r="C48" s="54">
        <v>1</v>
      </c>
      <c r="D48" s="177">
        <v>8.4730000000000008</v>
      </c>
      <c r="E48" s="171">
        <f t="shared" si="36"/>
        <v>8.4700000000000006</v>
      </c>
      <c r="F48" s="154">
        <f t="shared" si="37"/>
        <v>101.6</v>
      </c>
      <c r="G48" s="154">
        <f>100.4/1000</f>
        <v>0.1</v>
      </c>
      <c r="H48" s="154">
        <v>0.5</v>
      </c>
      <c r="I48" s="154"/>
      <c r="J48" s="154"/>
      <c r="K48" s="154">
        <f>D48*8.5*0.2</f>
        <v>14.4</v>
      </c>
      <c r="L48" s="154">
        <f t="shared" si="4"/>
        <v>34.4</v>
      </c>
      <c r="M48" s="154">
        <f t="shared" si="38"/>
        <v>151</v>
      </c>
      <c r="N48" s="171">
        <v>0.41</v>
      </c>
      <c r="O48" s="154">
        <f t="shared" si="39"/>
        <v>61.9</v>
      </c>
      <c r="P48" s="154">
        <f t="shared" si="40"/>
        <v>212.9</v>
      </c>
      <c r="Q48" s="154">
        <f t="shared" si="41"/>
        <v>170.3</v>
      </c>
      <c r="R48" s="154">
        <f t="shared" si="42"/>
        <v>170.3</v>
      </c>
      <c r="S48" s="154">
        <f t="shared" si="43"/>
        <v>17.7</v>
      </c>
      <c r="T48" s="154">
        <f t="shared" si="44"/>
        <v>571.20000000000005</v>
      </c>
      <c r="U48" s="1532"/>
      <c r="V48" s="154">
        <f t="shared" si="5"/>
        <v>571.20000000000005</v>
      </c>
      <c r="W48" s="154">
        <f t="shared" si="20"/>
        <v>172.5</v>
      </c>
      <c r="X48" s="276">
        <v>1</v>
      </c>
      <c r="Y48" s="24">
        <v>35</v>
      </c>
      <c r="Z48" s="48">
        <f t="shared" si="45"/>
        <v>35</v>
      </c>
      <c r="AA48" s="54"/>
      <c r="AB48" s="24">
        <v>17.5</v>
      </c>
      <c r="AC48" s="48">
        <f>AA48*AB48</f>
        <v>0</v>
      </c>
      <c r="AD48" s="54"/>
      <c r="AE48" s="24">
        <v>35</v>
      </c>
      <c r="AF48" s="48">
        <f t="shared" si="47"/>
        <v>0</v>
      </c>
      <c r="AG48" s="276">
        <f t="shared" si="0"/>
        <v>10.5</v>
      </c>
      <c r="AH48" s="48">
        <f t="shared" si="48"/>
        <v>45.5</v>
      </c>
      <c r="AI48" s="39">
        <f t="shared" si="34"/>
        <v>47600</v>
      </c>
      <c r="AJ48" s="34"/>
      <c r="AK48" s="34">
        <f t="shared" si="35"/>
        <v>571.20000000000005</v>
      </c>
      <c r="AL48" s="34">
        <f t="shared" si="49"/>
        <v>221.4</v>
      </c>
      <c r="AM48" s="51">
        <v>0.30199999999999999</v>
      </c>
      <c r="AN48" s="50"/>
      <c r="AO48" s="50"/>
      <c r="AP48" s="50"/>
      <c r="AQ48" s="50">
        <f t="shared" si="7"/>
        <v>0</v>
      </c>
      <c r="AR48" s="51"/>
    </row>
    <row r="49" spans="1:44" x14ac:dyDescent="0.25">
      <c r="A49" s="276">
        <v>41</v>
      </c>
      <c r="B49" s="218" t="s">
        <v>42</v>
      </c>
      <c r="C49" s="24">
        <v>0.5</v>
      </c>
      <c r="D49" s="213">
        <v>11.061999999999999</v>
      </c>
      <c r="E49" s="171">
        <f t="shared" si="36"/>
        <v>5.53</v>
      </c>
      <c r="F49" s="154">
        <f t="shared" si="37"/>
        <v>66.400000000000006</v>
      </c>
      <c r="G49" s="154">
        <f>65.5/1000</f>
        <v>0.1</v>
      </c>
      <c r="H49" s="154">
        <v>3</v>
      </c>
      <c r="I49" s="154"/>
      <c r="J49" s="154"/>
      <c r="K49" s="154"/>
      <c r="L49" s="154">
        <f t="shared" si="4"/>
        <v>22.5</v>
      </c>
      <c r="M49" s="154">
        <f t="shared" si="38"/>
        <v>92</v>
      </c>
      <c r="N49" s="171">
        <v>0.43</v>
      </c>
      <c r="O49" s="154">
        <f t="shared" si="39"/>
        <v>39.6</v>
      </c>
      <c r="P49" s="154">
        <f t="shared" si="40"/>
        <v>131.6</v>
      </c>
      <c r="Q49" s="154">
        <f t="shared" si="41"/>
        <v>105.3</v>
      </c>
      <c r="R49" s="154">
        <f t="shared" si="42"/>
        <v>105.3</v>
      </c>
      <c r="S49" s="154">
        <f t="shared" si="43"/>
        <v>11</v>
      </c>
      <c r="T49" s="154">
        <f t="shared" si="44"/>
        <v>353.2</v>
      </c>
      <c r="U49" s="1532"/>
      <c r="V49" s="154">
        <f t="shared" si="5"/>
        <v>353.2</v>
      </c>
      <c r="W49" s="154">
        <f t="shared" si="20"/>
        <v>106.7</v>
      </c>
      <c r="X49" s="276"/>
      <c r="Y49" s="24">
        <v>35</v>
      </c>
      <c r="Z49" s="48">
        <f t="shared" si="45"/>
        <v>0</v>
      </c>
      <c r="AA49" s="54"/>
      <c r="AB49" s="24">
        <v>17.5</v>
      </c>
      <c r="AC49" s="48">
        <f t="shared" si="46"/>
        <v>0</v>
      </c>
      <c r="AD49" s="54"/>
      <c r="AE49" s="24">
        <v>35</v>
      </c>
      <c r="AF49" s="48">
        <f t="shared" si="47"/>
        <v>0</v>
      </c>
      <c r="AG49" s="276">
        <f t="shared" si="0"/>
        <v>0</v>
      </c>
      <c r="AH49" s="48">
        <f t="shared" si="48"/>
        <v>0</v>
      </c>
      <c r="AI49" s="39">
        <f t="shared" si="34"/>
        <v>58866.67</v>
      </c>
      <c r="AJ49" s="34"/>
      <c r="AK49" s="34">
        <f t="shared" si="35"/>
        <v>706.4</v>
      </c>
      <c r="AL49" s="34">
        <f t="shared" si="49"/>
        <v>246</v>
      </c>
      <c r="AM49" s="51">
        <v>0.30199999999999999</v>
      </c>
      <c r="AO49" s="50"/>
      <c r="AP49" s="50"/>
      <c r="AQ49" s="50">
        <f t="shared" si="7"/>
        <v>0</v>
      </c>
      <c r="AR49" s="51"/>
    </row>
    <row r="50" spans="1:44" x14ac:dyDescent="0.25">
      <c r="A50" s="276">
        <v>42</v>
      </c>
      <c r="B50" s="52" t="s">
        <v>43</v>
      </c>
      <c r="C50" s="167">
        <v>0.25</v>
      </c>
      <c r="D50" s="177">
        <v>8.4730000000000008</v>
      </c>
      <c r="E50" s="171">
        <f t="shared" si="36"/>
        <v>2.12</v>
      </c>
      <c r="F50" s="154">
        <f t="shared" si="37"/>
        <v>25.4</v>
      </c>
      <c r="G50" s="154"/>
      <c r="H50" s="154"/>
      <c r="I50" s="154"/>
      <c r="J50" s="154"/>
      <c r="K50" s="154"/>
      <c r="L50" s="154">
        <f t="shared" si="4"/>
        <v>8.6</v>
      </c>
      <c r="M50" s="154">
        <f t="shared" si="38"/>
        <v>34</v>
      </c>
      <c r="N50" s="171">
        <v>0.41</v>
      </c>
      <c r="O50" s="154">
        <f t="shared" si="39"/>
        <v>13.9</v>
      </c>
      <c r="P50" s="154">
        <f t="shared" si="40"/>
        <v>47.9</v>
      </c>
      <c r="Q50" s="154">
        <f t="shared" si="41"/>
        <v>38.299999999999997</v>
      </c>
      <c r="R50" s="154">
        <f t="shared" si="42"/>
        <v>38.299999999999997</v>
      </c>
      <c r="S50" s="154">
        <f t="shared" si="43"/>
        <v>4</v>
      </c>
      <c r="T50" s="154">
        <f t="shared" si="44"/>
        <v>128.5</v>
      </c>
      <c r="U50" s="1532"/>
      <c r="V50" s="154">
        <f t="shared" si="5"/>
        <v>128.5</v>
      </c>
      <c r="W50" s="154">
        <f t="shared" si="20"/>
        <v>38.799999999999997</v>
      </c>
      <c r="X50" s="276"/>
      <c r="Y50" s="24">
        <v>35</v>
      </c>
      <c r="Z50" s="48">
        <f t="shared" si="45"/>
        <v>0</v>
      </c>
      <c r="AA50" s="54"/>
      <c r="AB50" s="24">
        <v>17.5</v>
      </c>
      <c r="AC50" s="48">
        <f t="shared" si="46"/>
        <v>0</v>
      </c>
      <c r="AD50" s="54"/>
      <c r="AE50" s="24">
        <v>35</v>
      </c>
      <c r="AF50" s="48">
        <f t="shared" si="47"/>
        <v>0</v>
      </c>
      <c r="AG50" s="276">
        <f t="shared" si="0"/>
        <v>0</v>
      </c>
      <c r="AH50" s="48">
        <f t="shared" si="48"/>
        <v>0</v>
      </c>
      <c r="AI50" s="39">
        <f t="shared" si="34"/>
        <v>42833.33</v>
      </c>
      <c r="AJ50" s="34"/>
      <c r="AK50" s="34">
        <f t="shared" si="35"/>
        <v>514</v>
      </c>
      <c r="AL50" s="34">
        <f t="shared" si="49"/>
        <v>211</v>
      </c>
      <c r="AM50" s="51">
        <v>0.30199999999999999</v>
      </c>
      <c r="AN50" s="50"/>
      <c r="AO50" s="50"/>
      <c r="AP50" s="50"/>
      <c r="AQ50" s="50">
        <f t="shared" si="7"/>
        <v>0</v>
      </c>
      <c r="AR50" s="51"/>
    </row>
    <row r="51" spans="1:44" x14ac:dyDescent="0.25">
      <c r="A51" s="276">
        <v>43</v>
      </c>
      <c r="B51" s="229" t="s">
        <v>44</v>
      </c>
      <c r="C51" s="179">
        <f>1-0.25</f>
        <v>0.75</v>
      </c>
      <c r="D51" s="213">
        <v>11.061999999999999</v>
      </c>
      <c r="E51" s="171">
        <f t="shared" si="36"/>
        <v>8.3000000000000007</v>
      </c>
      <c r="F51" s="154">
        <f t="shared" si="37"/>
        <v>99.6</v>
      </c>
      <c r="G51" s="154"/>
      <c r="H51" s="154">
        <v>2.4</v>
      </c>
      <c r="I51" s="154"/>
      <c r="J51" s="154"/>
      <c r="K51" s="154"/>
      <c r="L51" s="154">
        <f t="shared" si="4"/>
        <v>33.700000000000003</v>
      </c>
      <c r="M51" s="154">
        <f t="shared" si="38"/>
        <v>135.69999999999999</v>
      </c>
      <c r="N51" s="171">
        <v>0.43</v>
      </c>
      <c r="O51" s="154">
        <f t="shared" si="39"/>
        <v>58.4</v>
      </c>
      <c r="P51" s="154">
        <f t="shared" si="40"/>
        <v>194.1</v>
      </c>
      <c r="Q51" s="154">
        <f t="shared" si="41"/>
        <v>155.30000000000001</v>
      </c>
      <c r="R51" s="154">
        <f t="shared" si="42"/>
        <v>155.30000000000001</v>
      </c>
      <c r="S51" s="154">
        <f t="shared" si="43"/>
        <v>16.2</v>
      </c>
      <c r="T51" s="154">
        <f t="shared" si="44"/>
        <v>520.9</v>
      </c>
      <c r="U51" s="1532"/>
      <c r="V51" s="154">
        <f>T51*$U$9-0.3</f>
        <v>520.6</v>
      </c>
      <c r="W51" s="154">
        <f t="shared" si="20"/>
        <v>157.19999999999999</v>
      </c>
      <c r="X51" s="276"/>
      <c r="Y51" s="24">
        <v>35</v>
      </c>
      <c r="Z51" s="48">
        <f t="shared" si="45"/>
        <v>0</v>
      </c>
      <c r="AA51" s="54"/>
      <c r="AB51" s="24">
        <v>17.5</v>
      </c>
      <c r="AC51" s="48">
        <f t="shared" si="46"/>
        <v>0</v>
      </c>
      <c r="AD51" s="54"/>
      <c r="AE51" s="24">
        <v>35</v>
      </c>
      <c r="AF51" s="48">
        <f t="shared" si="47"/>
        <v>0</v>
      </c>
      <c r="AG51" s="276">
        <f t="shared" si="0"/>
        <v>0</v>
      </c>
      <c r="AH51" s="48">
        <f t="shared" si="48"/>
        <v>0</v>
      </c>
      <c r="AI51" s="39">
        <f t="shared" si="34"/>
        <v>57844.44</v>
      </c>
      <c r="AJ51" s="34"/>
      <c r="AK51" s="34">
        <f t="shared" si="35"/>
        <v>694.1</v>
      </c>
      <c r="AL51" s="34">
        <f t="shared" si="49"/>
        <v>243.8</v>
      </c>
      <c r="AM51" s="51">
        <v>0.30199999999999999</v>
      </c>
      <c r="AN51" s="50"/>
      <c r="AO51" s="50"/>
      <c r="AP51" s="50"/>
      <c r="AQ51" s="50">
        <f t="shared" si="7"/>
        <v>0</v>
      </c>
      <c r="AR51" s="51"/>
    </row>
    <row r="52" spans="1:44" s="33" customFormat="1" ht="20.25" customHeight="1" x14ac:dyDescent="0.25">
      <c r="A52" s="1545" t="s">
        <v>72</v>
      </c>
      <c r="B52" s="1545"/>
      <c r="C52" s="230">
        <f t="shared" ref="C52:AG52" si="50">SUM(C9:C51)</f>
        <v>59.75</v>
      </c>
      <c r="D52" s="231">
        <f t="shared" si="50"/>
        <v>419</v>
      </c>
      <c r="E52" s="231">
        <f t="shared" si="50"/>
        <v>591.79999999999995</v>
      </c>
      <c r="F52" s="231">
        <f t="shared" si="50"/>
        <v>7100.7</v>
      </c>
      <c r="G52" s="231">
        <f t="shared" si="50"/>
        <v>0.4</v>
      </c>
      <c r="H52" s="231">
        <f t="shared" si="50"/>
        <v>204.3</v>
      </c>
      <c r="I52" s="231">
        <f t="shared" si="50"/>
        <v>0</v>
      </c>
      <c r="J52" s="231">
        <f t="shared" si="50"/>
        <v>93.9</v>
      </c>
      <c r="K52" s="231">
        <f t="shared" si="50"/>
        <v>1647.5</v>
      </c>
      <c r="L52" s="231">
        <f t="shared" si="50"/>
        <v>2508.9</v>
      </c>
      <c r="M52" s="231">
        <f t="shared" si="50"/>
        <v>11555.7</v>
      </c>
      <c r="N52" s="231">
        <f t="shared" si="50"/>
        <v>19.100000000000001</v>
      </c>
      <c r="O52" s="231">
        <f t="shared" si="50"/>
        <v>5402.6</v>
      </c>
      <c r="P52" s="231">
        <f t="shared" si="50"/>
        <v>16958.3</v>
      </c>
      <c r="Q52" s="231">
        <f t="shared" si="50"/>
        <v>13566</v>
      </c>
      <c r="R52" s="231">
        <f t="shared" si="50"/>
        <v>13566</v>
      </c>
      <c r="S52" s="231">
        <f t="shared" si="50"/>
        <v>1410.9</v>
      </c>
      <c r="T52" s="231">
        <f t="shared" si="50"/>
        <v>45501.2</v>
      </c>
      <c r="U52" s="231">
        <f t="shared" si="50"/>
        <v>1</v>
      </c>
      <c r="V52" s="231">
        <f t="shared" si="50"/>
        <v>45500.9</v>
      </c>
      <c r="W52" s="231">
        <f t="shared" si="50"/>
        <v>13348.7</v>
      </c>
      <c r="X52" s="231">
        <f t="shared" si="50"/>
        <v>34</v>
      </c>
      <c r="Y52" s="231">
        <f t="shared" si="50"/>
        <v>1305</v>
      </c>
      <c r="Z52" s="231">
        <f t="shared" si="50"/>
        <v>1040</v>
      </c>
      <c r="AA52" s="231">
        <f t="shared" si="50"/>
        <v>17</v>
      </c>
      <c r="AB52" s="231">
        <f t="shared" si="50"/>
        <v>652.5</v>
      </c>
      <c r="AC52" s="231">
        <f t="shared" si="50"/>
        <v>255</v>
      </c>
      <c r="AD52" s="231">
        <f t="shared" si="50"/>
        <v>6</v>
      </c>
      <c r="AE52" s="231">
        <f t="shared" si="50"/>
        <v>1305</v>
      </c>
      <c r="AF52" s="231">
        <f t="shared" si="50"/>
        <v>185</v>
      </c>
      <c r="AG52" s="231">
        <f t="shared" si="50"/>
        <v>444</v>
      </c>
      <c r="AH52" s="231">
        <f>SUM(AH9:AH51)</f>
        <v>1924</v>
      </c>
      <c r="AN52" s="211"/>
      <c r="AO52" s="211"/>
      <c r="AP52" s="211"/>
      <c r="AQ52" s="50">
        <f t="shared" si="7"/>
        <v>0</v>
      </c>
    </row>
    <row r="53" spans="1:44" ht="17.25" customHeight="1" x14ac:dyDescent="0.25">
      <c r="G53" s="39"/>
      <c r="H53" s="39"/>
      <c r="I53" s="39"/>
      <c r="J53" s="39"/>
      <c r="K53" s="39"/>
      <c r="L53" s="232"/>
      <c r="M53" s="232"/>
      <c r="N53" s="232"/>
      <c r="O53" s="232"/>
      <c r="P53" s="232"/>
      <c r="Q53" s="39"/>
      <c r="R53" s="39"/>
      <c r="S53" s="39"/>
      <c r="T53" s="39"/>
      <c r="V53" s="34"/>
      <c r="W53" s="66"/>
      <c r="X53" s="39"/>
      <c r="AA53" s="39"/>
      <c r="AD53" s="39"/>
      <c r="AG53" s="39"/>
      <c r="AH53" s="39"/>
    </row>
    <row r="54" spans="1:44" s="75" customFormat="1" x14ac:dyDescent="0.25">
      <c r="A54" s="70"/>
      <c r="B54" s="70"/>
      <c r="C54" s="71"/>
      <c r="D54" s="72"/>
      <c r="E54" s="72"/>
      <c r="F54" s="72"/>
      <c r="G54" s="72"/>
      <c r="H54" s="73"/>
      <c r="I54" s="73"/>
      <c r="J54" s="27"/>
      <c r="K54" s="27"/>
      <c r="L54" s="27"/>
      <c r="M54" s="27"/>
      <c r="N54" s="74"/>
      <c r="O54" s="27"/>
      <c r="P54" s="27"/>
      <c r="Q54" s="27"/>
      <c r="R54" s="27"/>
      <c r="S54" s="27"/>
      <c r="T54" s="27"/>
      <c r="U54" s="27"/>
      <c r="V54" s="27"/>
      <c r="W54" s="27"/>
      <c r="X54" s="27"/>
      <c r="Y54" s="27"/>
      <c r="Z54" s="27"/>
      <c r="AA54" s="27"/>
      <c r="AB54" s="27"/>
      <c r="AC54" s="27"/>
      <c r="AD54" s="27"/>
      <c r="AE54" s="27"/>
      <c r="AF54" s="27"/>
      <c r="AG54" s="27"/>
      <c r="AH54" s="27"/>
      <c r="AI54" s="27"/>
      <c r="AJ54" s="76"/>
      <c r="AN54" s="76"/>
      <c r="AO54" s="76"/>
      <c r="AP54" s="76"/>
      <c r="AQ54" s="76"/>
      <c r="AR54" s="76"/>
    </row>
    <row r="55" spans="1:44" s="75" customFormat="1" ht="104.25" customHeight="1" x14ac:dyDescent="0.25">
      <c r="A55" s="70"/>
      <c r="B55" s="70"/>
      <c r="C55" s="71"/>
      <c r="D55" s="77"/>
      <c r="E55" s="77"/>
      <c r="F55" s="27"/>
      <c r="G55" s="1545" t="s">
        <v>140</v>
      </c>
      <c r="H55" s="1545"/>
      <c r="I55" s="1545" t="s">
        <v>144</v>
      </c>
      <c r="J55" s="1545"/>
      <c r="K55" s="1540" t="s">
        <v>145</v>
      </c>
      <c r="L55" s="1541"/>
      <c r="M55" s="1545" t="s">
        <v>128</v>
      </c>
      <c r="N55" s="1545"/>
      <c r="O55" s="70"/>
      <c r="P55" s="70"/>
      <c r="Q55" s="27"/>
      <c r="R55" s="27"/>
      <c r="S55" s="27"/>
      <c r="T55" s="27"/>
      <c r="U55" s="27"/>
      <c r="V55" s="27"/>
      <c r="W55" s="27"/>
      <c r="X55" s="27"/>
      <c r="Y55" s="27"/>
      <c r="Z55" s="27"/>
      <c r="AA55" s="27"/>
      <c r="AB55" s="27"/>
      <c r="AC55" s="27"/>
      <c r="AD55" s="27"/>
      <c r="AE55" s="27"/>
      <c r="AF55" s="27"/>
      <c r="AG55" s="27"/>
      <c r="AH55" s="27"/>
      <c r="AI55" s="27"/>
      <c r="AJ55" s="76"/>
      <c r="AN55" s="76"/>
      <c r="AO55" s="76"/>
      <c r="AP55" s="76"/>
      <c r="AQ55" s="76"/>
      <c r="AR55" s="76"/>
    </row>
    <row r="56" spans="1:44" s="75" customFormat="1" x14ac:dyDescent="0.25">
      <c r="A56" s="70"/>
      <c r="B56" s="70"/>
      <c r="C56" s="71"/>
      <c r="D56" s="77"/>
      <c r="E56" s="77"/>
      <c r="F56" s="27"/>
      <c r="G56" s="28">
        <v>991</v>
      </c>
      <c r="H56" s="28">
        <v>992</v>
      </c>
      <c r="I56" s="28">
        <v>991</v>
      </c>
      <c r="J56" s="28">
        <v>992</v>
      </c>
      <c r="K56" s="28">
        <v>991</v>
      </c>
      <c r="L56" s="28">
        <v>992</v>
      </c>
      <c r="M56" s="28">
        <v>991</v>
      </c>
      <c r="N56" s="28">
        <v>992</v>
      </c>
      <c r="O56" s="79"/>
      <c r="P56" s="79"/>
      <c r="Q56" s="27"/>
      <c r="R56" s="27"/>
      <c r="S56" s="27"/>
      <c r="T56" s="27"/>
      <c r="U56" s="27"/>
      <c r="V56" s="27"/>
      <c r="W56" s="27"/>
      <c r="X56" s="27"/>
      <c r="Y56" s="27"/>
      <c r="Z56" s="27"/>
      <c r="AA56" s="27"/>
      <c r="AB56" s="27"/>
      <c r="AC56" s="27"/>
      <c r="AD56" s="27"/>
      <c r="AE56" s="27"/>
      <c r="AF56" s="27"/>
      <c r="AG56" s="27"/>
      <c r="AH56" s="27"/>
      <c r="AI56" s="27"/>
      <c r="AJ56" s="76"/>
      <c r="AN56" s="76"/>
      <c r="AO56" s="76"/>
      <c r="AP56" s="76"/>
      <c r="AQ56" s="76"/>
      <c r="AR56" s="76"/>
    </row>
    <row r="57" spans="1:44" s="75" customFormat="1" x14ac:dyDescent="0.25">
      <c r="A57" s="70"/>
      <c r="B57" s="70"/>
      <c r="C57" s="71"/>
      <c r="D57" s="77"/>
      <c r="E57" s="77"/>
      <c r="F57" s="27"/>
      <c r="G57" s="29">
        <v>46179.199999999997</v>
      </c>
      <c r="H57" s="29">
        <v>13446.9</v>
      </c>
      <c r="I57" s="29">
        <f>245.4+176.6+93.6+162.7</f>
        <v>678.3</v>
      </c>
      <c r="J57" s="29">
        <f>74.1+53.3+28.3+49.1</f>
        <v>204.8</v>
      </c>
      <c r="K57" s="29">
        <f>V52</f>
        <v>45500.9</v>
      </c>
      <c r="L57" s="29">
        <f>W52</f>
        <v>13348.7</v>
      </c>
      <c r="M57" s="29">
        <f>G57-I57-K57</f>
        <v>0</v>
      </c>
      <c r="N57" s="29">
        <f>H57-J57-L57</f>
        <v>-106.6</v>
      </c>
      <c r="O57" s="80"/>
      <c r="P57" s="80"/>
      <c r="Q57" s="27"/>
      <c r="R57" s="27"/>
      <c r="S57" s="27"/>
      <c r="T57" s="27"/>
      <c r="U57" s="27"/>
      <c r="V57" s="27"/>
      <c r="W57" s="27"/>
      <c r="X57" s="27"/>
      <c r="Y57" s="27"/>
      <c r="Z57" s="27"/>
      <c r="AA57" s="27"/>
      <c r="AB57" s="27"/>
      <c r="AC57" s="27"/>
      <c r="AD57" s="27"/>
      <c r="AE57" s="27"/>
      <c r="AF57" s="27"/>
      <c r="AG57" s="27"/>
      <c r="AH57" s="27"/>
      <c r="AI57" s="27"/>
      <c r="AJ57" s="76"/>
      <c r="AN57" s="76"/>
      <c r="AO57" s="76"/>
      <c r="AP57" s="76"/>
      <c r="AQ57" s="76"/>
      <c r="AR57" s="76"/>
    </row>
    <row r="58" spans="1:44" s="75" customFormat="1" x14ac:dyDescent="0.25">
      <c r="A58" s="70"/>
      <c r="B58" s="70"/>
      <c r="C58" s="71"/>
      <c r="D58" s="77"/>
      <c r="E58" s="77"/>
      <c r="F58" s="27"/>
      <c r="G58" s="27"/>
      <c r="H58" s="73"/>
      <c r="I58" s="73"/>
      <c r="J58" s="27"/>
      <c r="K58" s="27"/>
      <c r="L58" s="27"/>
      <c r="M58" s="27"/>
      <c r="N58" s="74"/>
      <c r="O58" s="27"/>
      <c r="P58" s="27"/>
      <c r="Q58" s="27"/>
      <c r="R58" s="27"/>
      <c r="S58" s="27"/>
      <c r="T58" s="27"/>
      <c r="U58" s="27"/>
      <c r="V58" s="27"/>
      <c r="W58" s="27"/>
      <c r="X58" s="27"/>
      <c r="Y58" s="27"/>
      <c r="Z58" s="27"/>
      <c r="AA58" s="27"/>
      <c r="AB58" s="27"/>
      <c r="AC58" s="27"/>
      <c r="AD58" s="27"/>
      <c r="AE58" s="27"/>
      <c r="AF58" s="27"/>
      <c r="AG58" s="27"/>
      <c r="AH58" s="76"/>
      <c r="AM58" s="76"/>
      <c r="AN58" s="211"/>
      <c r="AO58" s="211"/>
      <c r="AP58" s="211"/>
      <c r="AQ58" s="211"/>
    </row>
    <row r="59" spans="1:44" s="35" customFormat="1" ht="21" x14ac:dyDescent="0.25">
      <c r="A59" s="81"/>
      <c r="B59" s="82" t="s">
        <v>138</v>
      </c>
      <c r="C59" s="83"/>
      <c r="D59" s="84"/>
      <c r="E59" s="84"/>
      <c r="F59" s="85"/>
      <c r="G59" s="85"/>
      <c r="H59" s="86"/>
      <c r="I59" s="86"/>
      <c r="J59" s="85"/>
      <c r="K59" s="30" t="s">
        <v>167</v>
      </c>
      <c r="L59" s="85"/>
      <c r="M59" s="85"/>
      <c r="N59" s="87"/>
      <c r="O59" s="85"/>
      <c r="P59" s="85"/>
      <c r="Q59" s="85"/>
      <c r="R59" s="85"/>
      <c r="S59" s="85"/>
      <c r="T59" s="85"/>
      <c r="U59" s="85"/>
      <c r="V59" s="85"/>
      <c r="W59" s="85"/>
      <c r="X59" s="85"/>
      <c r="Y59" s="85"/>
      <c r="Z59" s="85"/>
      <c r="AA59" s="85"/>
      <c r="AB59" s="85"/>
      <c r="AC59" s="85"/>
      <c r="AD59" s="85"/>
      <c r="AE59" s="85"/>
      <c r="AF59" s="85"/>
      <c r="AG59" s="85"/>
      <c r="AH59" s="85"/>
      <c r="AI59" s="85"/>
      <c r="AK59" s="88"/>
      <c r="AL59" s="88"/>
      <c r="AM59" s="88"/>
      <c r="AN59" s="88"/>
      <c r="AO59" s="88"/>
    </row>
    <row r="60" spans="1:44" s="75" customFormat="1" x14ac:dyDescent="0.25">
      <c r="A60" s="70"/>
      <c r="B60" s="70"/>
      <c r="C60" s="71"/>
      <c r="D60" s="77"/>
      <c r="E60" s="77"/>
      <c r="F60" s="27"/>
      <c r="G60" s="27"/>
      <c r="H60" s="73"/>
      <c r="I60" s="73"/>
      <c r="J60" s="27"/>
      <c r="K60" s="27"/>
      <c r="L60" s="27"/>
      <c r="M60" s="27"/>
      <c r="N60" s="74"/>
      <c r="O60" s="27"/>
      <c r="P60" s="27"/>
      <c r="Q60" s="27"/>
      <c r="R60" s="27"/>
      <c r="S60" s="27"/>
      <c r="T60" s="27"/>
      <c r="U60" s="27"/>
      <c r="V60" s="27"/>
      <c r="W60" s="27"/>
      <c r="X60" s="27"/>
      <c r="Y60" s="27"/>
      <c r="Z60" s="27"/>
      <c r="AA60" s="27"/>
      <c r="AB60" s="27"/>
      <c r="AC60" s="27"/>
      <c r="AD60" s="27"/>
      <c r="AE60" s="27"/>
      <c r="AF60" s="27"/>
      <c r="AG60" s="27"/>
      <c r="AH60" s="76"/>
      <c r="AM60" s="76"/>
      <c r="AN60" s="211"/>
      <c r="AO60" s="211"/>
      <c r="AP60" s="211"/>
      <c r="AQ60" s="211"/>
    </row>
    <row r="61" spans="1:44" s="75" customFormat="1" ht="20.25" customHeight="1" x14ac:dyDescent="0.25">
      <c r="A61" s="89" t="s">
        <v>96</v>
      </c>
      <c r="B61" s="89"/>
      <c r="C61" s="31"/>
      <c r="D61" s="31"/>
      <c r="E61" s="31"/>
      <c r="F61" s="31"/>
      <c r="G61" s="31"/>
      <c r="H61" s="31"/>
      <c r="I61" s="31"/>
      <c r="J61" s="31"/>
      <c r="K61" s="31"/>
      <c r="L61" s="90"/>
      <c r="M61" s="90"/>
      <c r="N61" s="91"/>
      <c r="O61" s="90"/>
      <c r="P61" s="90"/>
      <c r="Q61" s="90"/>
      <c r="R61" s="90"/>
      <c r="S61" s="90"/>
      <c r="T61" s="90"/>
      <c r="U61" s="90"/>
      <c r="V61" s="90"/>
      <c r="W61" s="90"/>
      <c r="X61" s="90"/>
      <c r="Y61" s="90"/>
      <c r="Z61" s="90"/>
      <c r="AA61" s="90"/>
      <c r="AB61" s="90"/>
      <c r="AC61" s="90"/>
      <c r="AD61" s="90"/>
      <c r="AE61" s="90"/>
      <c r="AF61" s="90"/>
      <c r="AG61" s="90"/>
      <c r="AH61" s="76"/>
      <c r="AM61" s="76"/>
      <c r="AN61" s="211"/>
      <c r="AO61" s="211"/>
      <c r="AP61" s="211"/>
      <c r="AQ61" s="211"/>
    </row>
    <row r="62" spans="1:44" s="75" customFormat="1" ht="20.25" customHeight="1" x14ac:dyDescent="0.25">
      <c r="A62" s="89" t="s">
        <v>139</v>
      </c>
      <c r="B62" s="92"/>
      <c r="C62" s="93"/>
      <c r="D62" s="93"/>
      <c r="E62" s="32"/>
      <c r="F62" s="32"/>
      <c r="G62" s="32"/>
      <c r="H62" s="32"/>
      <c r="I62" s="32"/>
      <c r="J62" s="32"/>
      <c r="K62" s="32"/>
      <c r="L62" s="90"/>
      <c r="M62" s="90"/>
      <c r="N62" s="90"/>
      <c r="O62" s="90"/>
      <c r="P62" s="90"/>
      <c r="Q62" s="90"/>
      <c r="R62" s="90"/>
      <c r="S62" s="90"/>
      <c r="T62" s="90"/>
      <c r="U62" s="90"/>
      <c r="V62" s="90"/>
      <c r="W62" s="90"/>
      <c r="X62" s="90"/>
      <c r="Y62" s="90"/>
      <c r="Z62" s="90"/>
      <c r="AA62" s="90"/>
      <c r="AB62" s="90"/>
      <c r="AC62" s="90"/>
      <c r="AD62" s="90"/>
      <c r="AE62" s="90"/>
      <c r="AF62" s="90"/>
      <c r="AG62" s="90"/>
      <c r="AH62" s="76"/>
      <c r="AM62" s="76"/>
      <c r="AN62" s="211"/>
      <c r="AO62" s="211"/>
      <c r="AP62" s="211"/>
      <c r="AQ62" s="211"/>
    </row>
    <row r="64" spans="1:44" hidden="1" x14ac:dyDescent="0.25">
      <c r="A64" s="23"/>
      <c r="B64" s="233" t="s">
        <v>121</v>
      </c>
      <c r="C64" s="233">
        <f t="shared" ref="C64:W64" si="51">C9+C10+C12</f>
        <v>3</v>
      </c>
      <c r="D64" s="233">
        <f t="shared" si="51"/>
        <v>61.43</v>
      </c>
      <c r="E64" s="183">
        <f t="shared" si="51"/>
        <v>61.44</v>
      </c>
      <c r="F64" s="233">
        <f t="shared" si="51"/>
        <v>737.2</v>
      </c>
      <c r="G64" s="233">
        <f t="shared" si="51"/>
        <v>0</v>
      </c>
      <c r="H64" s="233">
        <f t="shared" si="51"/>
        <v>8.6999999999999993</v>
      </c>
      <c r="I64" s="233">
        <f t="shared" si="51"/>
        <v>0</v>
      </c>
      <c r="J64" s="233">
        <f t="shared" si="51"/>
        <v>0</v>
      </c>
      <c r="K64" s="233">
        <f t="shared" si="51"/>
        <v>208.9</v>
      </c>
      <c r="L64" s="233">
        <f t="shared" si="51"/>
        <v>249.5</v>
      </c>
      <c r="M64" s="233">
        <f t="shared" si="51"/>
        <v>1204.3</v>
      </c>
      <c r="N64" s="233">
        <f t="shared" si="51"/>
        <v>1.92</v>
      </c>
      <c r="O64" s="233">
        <f t="shared" si="51"/>
        <v>838.4</v>
      </c>
      <c r="P64" s="233">
        <f t="shared" si="51"/>
        <v>2042.7</v>
      </c>
      <c r="Q64" s="233">
        <f t="shared" si="51"/>
        <v>1634.1</v>
      </c>
      <c r="R64" s="233">
        <f t="shared" si="51"/>
        <v>1634.1</v>
      </c>
      <c r="S64" s="233">
        <f t="shared" si="51"/>
        <v>170</v>
      </c>
      <c r="T64" s="233">
        <f t="shared" si="51"/>
        <v>5480.9</v>
      </c>
      <c r="U64" s="233">
        <f t="shared" si="51"/>
        <v>1</v>
      </c>
      <c r="V64" s="233">
        <f t="shared" si="51"/>
        <v>5480.9</v>
      </c>
      <c r="W64" s="233">
        <f t="shared" si="51"/>
        <v>1328</v>
      </c>
      <c r="X64" s="234">
        <f>V64+W64</f>
        <v>6808.9</v>
      </c>
    </row>
    <row r="65" spans="1:26" hidden="1" x14ac:dyDescent="0.25">
      <c r="A65" s="23"/>
      <c r="B65" s="233" t="s">
        <v>122</v>
      </c>
      <c r="C65" s="233" t="e">
        <f>C13+C14+#REF!+C15+C16+C17+C19+C20+C21+C22+C23+C24+C25+C26+C27+C28+C29+C30+C31+C32+C33+C34+C35+C36+C38+#REF!+C39+C40+C41</f>
        <v>#REF!</v>
      </c>
      <c r="D65" s="233" t="e">
        <f>D13+D14+#REF!+D15+D16+D17+D19+D20+D21+D22+D23+D24+D25+D26+D27+D28+D29+D30+D31+D32+D33+D34+D35+D36+D38+#REF!+D39+D40+D41</f>
        <v>#REF!</v>
      </c>
      <c r="E65" s="183" t="e">
        <f>E13+E14+#REF!+E15+E16+E17+E19+E20+E21+E22+E23+E24+E25+E26+E27+E28+E29+E30+E31+E32+E33+E34+E35+E36+E38+#REF!+E39+E40+E41</f>
        <v>#REF!</v>
      </c>
      <c r="F65" s="233" t="e">
        <f>F13+F14+#REF!+F15+F16+F17+F19+F20+F21+F22+F23+F24+F25+F26+F27+F28+F29+F30+F31+F32+F33+F34+F35+F36+F38+#REF!+F39+F40+F41</f>
        <v>#REF!</v>
      </c>
      <c r="G65" s="233" t="e">
        <f>G13+G14+#REF!+G15+G16+G17+G19+G20+G21+G22+G23+G24+G25+G26+G27+G28+G29+G30+G31+G32+G33+G34+G35+G36+G38+#REF!+G39+G40+G41</f>
        <v>#REF!</v>
      </c>
      <c r="H65" s="233" t="e">
        <f>H13+H14+#REF!+H15+H16+H17+H19+H20+H21+H22+H23+H24+H25+H26+H27+H28+H29+H30+H31+H32+H33+H34+H35+H36+H38+#REF!+H39+H40+H41</f>
        <v>#REF!</v>
      </c>
      <c r="I65" s="233" t="e">
        <f>I13+I14+#REF!+I15+I16+I17+I19+I20+I21+I22+I23+I24+I25+I26+I27+I28+I29+I30+I31+I32+I33+I34+I35+I36+I38+#REF!+I39+I40+I41</f>
        <v>#REF!</v>
      </c>
      <c r="J65" s="233" t="e">
        <f>J13+J14+#REF!+J15+J16+J17+J19+J20+J21+J22+J23+J24+J25+J26+J27+J28+J29+J30+J31+J32+J33+J34+J35+J36+J38+#REF!+J39+J40+J41</f>
        <v>#REF!</v>
      </c>
      <c r="K65" s="233" t="e">
        <f>K13+K14+#REF!+K15+K16+K17+K19+K20+K21+K22+K23+K24+K25+K26+K27+K28+K29+K30+K31+K32+K33+K34+K35+K36+K38+#REF!+K39+K40+K41</f>
        <v>#REF!</v>
      </c>
      <c r="L65" s="233" t="e">
        <f>L13+L14+#REF!+L15+L16+L17+L19+L20+L21+L22+L23+L24+L25+L26+L27+L28+L29+L30+L31+L32+L33+L34+L35+L36+L38+#REF!+L39+L40+L41</f>
        <v>#REF!</v>
      </c>
      <c r="M65" s="233" t="e">
        <f>M13+M14+#REF!+M15+M16+M17+M19+M20+M21+M22+M23+M24+M25+M26+M27+M28+M29+M30+M31+M32+M33+M34+M35+M36+M38+#REF!+M39+M40+M41</f>
        <v>#REF!</v>
      </c>
      <c r="N65" s="233" t="e">
        <f>N13+N14+#REF!+N15+N16+N17+N19+N20+N21+N22+N23+N24+N25+N26+N27+N28+N29+N30+N31+N32+N33+N34+N35+N36+N38+#REF!+N39+N40+N41</f>
        <v>#REF!</v>
      </c>
      <c r="O65" s="233" t="e">
        <f>O13+O14+#REF!+O15+O16+O17+O19+O20+O21+O22+O23+O24+O25+O26+O27+O28+O29+O30+O31+O32+O33+O34+O35+O36+O38+#REF!+O39+O40+O41</f>
        <v>#REF!</v>
      </c>
      <c r="P65" s="233" t="e">
        <f>P13+P14+#REF!+P15+P16+P17+P19+P20+P21+P22+P23+P24+P25+P26+P27+P28+P29+P30+P31+P32+P33+P34+P35+P36+P38+#REF!+P39+P40+P41</f>
        <v>#REF!</v>
      </c>
      <c r="Q65" s="233" t="e">
        <f>Q13+Q14+#REF!+Q15+Q16+Q17+Q19+Q20+Q21+Q22+Q23+Q24+Q25+Q26+Q27+Q28+Q29+Q30+Q31+Q32+Q33+Q34+Q35+Q36+Q38+#REF!+Q39+Q40+Q41</f>
        <v>#REF!</v>
      </c>
      <c r="R65" s="233" t="e">
        <f>R13+R14+#REF!+R15+R16+R17+R19+R20+R21+R22+R23+R24+R25+R26+R27+R28+R29+R30+R31+R32+R33+R34+R35+R36+R38+#REF!+R39+R40+R41</f>
        <v>#REF!</v>
      </c>
      <c r="S65" s="233" t="e">
        <f>S13+S14+#REF!+S15+S16+S17+S19+S20+S21+S22+S23+S24+S25+S26+S27+S28+S29+S30+S31+S32+S33+S34+S35+S36+S38+#REF!+S39+S40+S41</f>
        <v>#REF!</v>
      </c>
      <c r="T65" s="233" t="e">
        <f>T13+T14+#REF!+T15+T16+T17+T19+T20+T21+T22+T23+T24+T25+T26+T27+T28+T29+T30+T31+T32+T33+T34+T35+T36+T38+#REF!+T39+T40+T41</f>
        <v>#REF!</v>
      </c>
      <c r="U65" s="233" t="e">
        <f>U13+U14+#REF!+U15+U16+U17+U19+U20+U21+U22+U23+U24+U25+U26+U27+U28+U29+U30+U31+U32+U33+U34+U35+U36+U38+#REF!+U39+U40+U41</f>
        <v>#REF!</v>
      </c>
      <c r="V65" s="233" t="e">
        <f>V13+V14+#REF!+V15+V16+V17+V19+V20+V21+V22+V23+V24+V25+V26+V27+V28+V29+V30+V31+V32+V33+V34+V35+V36+V38+#REF!+V39+V40+V41</f>
        <v>#REF!</v>
      </c>
      <c r="W65" s="233" t="e">
        <f>W13+W14+#REF!+W15+W16+W17+W19+W20+W21+W22+W23+W24+W25+W26+W27+W28+W29+W30+W31+W32+W33+W34+W35+W36+W38+#REF!+W39+W40+W41</f>
        <v>#REF!</v>
      </c>
      <c r="X65" s="234" t="e">
        <f>V65+W65</f>
        <v>#REF!</v>
      </c>
    </row>
    <row r="66" spans="1:26" hidden="1" x14ac:dyDescent="0.25">
      <c r="A66" s="23"/>
      <c r="B66" s="233" t="s">
        <v>123</v>
      </c>
      <c r="C66" s="233" t="e">
        <f>C11+C18+#REF!</f>
        <v>#REF!</v>
      </c>
      <c r="D66" s="233" t="e">
        <f>D11+D18+#REF!</f>
        <v>#REF!</v>
      </c>
      <c r="E66" s="183" t="e">
        <f>E11+E18+#REF!</f>
        <v>#REF!</v>
      </c>
      <c r="F66" s="233" t="e">
        <f>F11+F18+#REF!</f>
        <v>#REF!</v>
      </c>
      <c r="G66" s="233" t="e">
        <f>G11+G18+#REF!</f>
        <v>#REF!</v>
      </c>
      <c r="H66" s="233" t="e">
        <f>H11+H18+#REF!</f>
        <v>#REF!</v>
      </c>
      <c r="I66" s="233" t="e">
        <f>I11+I18+#REF!</f>
        <v>#REF!</v>
      </c>
      <c r="J66" s="233" t="e">
        <f>J11+J18+#REF!</f>
        <v>#REF!</v>
      </c>
      <c r="K66" s="233" t="e">
        <f>K11+K18+#REF!</f>
        <v>#REF!</v>
      </c>
      <c r="L66" s="233" t="e">
        <f>L11+L18+#REF!</f>
        <v>#REF!</v>
      </c>
      <c r="M66" s="233" t="e">
        <f>M11+M18+#REF!</f>
        <v>#REF!</v>
      </c>
      <c r="N66" s="233" t="e">
        <f>N11+N18+#REF!</f>
        <v>#REF!</v>
      </c>
      <c r="O66" s="233" t="e">
        <f>O11+O18+#REF!</f>
        <v>#REF!</v>
      </c>
      <c r="P66" s="233" t="e">
        <f>P11+P18+#REF!</f>
        <v>#REF!</v>
      </c>
      <c r="Q66" s="233" t="e">
        <f>Q11+Q18+#REF!</f>
        <v>#REF!</v>
      </c>
      <c r="R66" s="233" t="e">
        <f>R11+R18+#REF!</f>
        <v>#REF!</v>
      </c>
      <c r="S66" s="233" t="e">
        <f>S11+S18+#REF!</f>
        <v>#REF!</v>
      </c>
      <c r="T66" s="233" t="e">
        <f>T11+T18+#REF!</f>
        <v>#REF!</v>
      </c>
      <c r="U66" s="233" t="e">
        <f>U11+U18+#REF!</f>
        <v>#REF!</v>
      </c>
      <c r="V66" s="233" t="e">
        <f>V11+V18+#REF!</f>
        <v>#REF!</v>
      </c>
      <c r="W66" s="233" t="e">
        <f>W11+W18+#REF!</f>
        <v>#REF!</v>
      </c>
      <c r="X66" s="234" t="e">
        <f>V66+W66</f>
        <v>#REF!</v>
      </c>
    </row>
    <row r="67" spans="1:26" hidden="1" x14ac:dyDescent="0.25">
      <c r="A67" s="23"/>
      <c r="B67" s="233"/>
      <c r="C67" s="233" t="e">
        <f>C64+C65+C66</f>
        <v>#REF!</v>
      </c>
      <c r="D67" s="233" t="e">
        <f t="shared" ref="D67:W67" si="52">D64+D65+D66</f>
        <v>#REF!</v>
      </c>
      <c r="E67" s="183" t="e">
        <f t="shared" si="52"/>
        <v>#REF!</v>
      </c>
      <c r="F67" s="233" t="e">
        <f t="shared" si="52"/>
        <v>#REF!</v>
      </c>
      <c r="G67" s="233" t="e">
        <f t="shared" si="52"/>
        <v>#REF!</v>
      </c>
      <c r="H67" s="233" t="e">
        <f t="shared" si="52"/>
        <v>#REF!</v>
      </c>
      <c r="I67" s="233" t="e">
        <f t="shared" si="52"/>
        <v>#REF!</v>
      </c>
      <c r="J67" s="233" t="e">
        <f t="shared" si="52"/>
        <v>#REF!</v>
      </c>
      <c r="K67" s="233" t="e">
        <f t="shared" si="52"/>
        <v>#REF!</v>
      </c>
      <c r="L67" s="233" t="e">
        <f t="shared" si="52"/>
        <v>#REF!</v>
      </c>
      <c r="M67" s="233" t="e">
        <f t="shared" si="52"/>
        <v>#REF!</v>
      </c>
      <c r="N67" s="233" t="e">
        <f t="shared" si="52"/>
        <v>#REF!</v>
      </c>
      <c r="O67" s="233" t="e">
        <f t="shared" si="52"/>
        <v>#REF!</v>
      </c>
      <c r="P67" s="233" t="e">
        <f t="shared" si="52"/>
        <v>#REF!</v>
      </c>
      <c r="Q67" s="233" t="e">
        <f t="shared" si="52"/>
        <v>#REF!</v>
      </c>
      <c r="R67" s="233" t="e">
        <f t="shared" si="52"/>
        <v>#REF!</v>
      </c>
      <c r="S67" s="233" t="e">
        <f t="shared" si="52"/>
        <v>#REF!</v>
      </c>
      <c r="T67" s="233" t="e">
        <f t="shared" si="52"/>
        <v>#REF!</v>
      </c>
      <c r="U67" s="233" t="e">
        <f t="shared" si="52"/>
        <v>#REF!</v>
      </c>
      <c r="V67" s="233" t="e">
        <f t="shared" si="52"/>
        <v>#REF!</v>
      </c>
      <c r="W67" s="233" t="e">
        <f t="shared" si="52"/>
        <v>#REF!</v>
      </c>
      <c r="X67" s="234" t="e">
        <f>V67+W67</f>
        <v>#REF!</v>
      </c>
      <c r="Y67" s="22" t="e">
        <f>V67+#REF!</f>
        <v>#REF!</v>
      </c>
      <c r="Z67" s="22" t="e">
        <f>W67+#REF!</f>
        <v>#REF!</v>
      </c>
    </row>
    <row r="68" spans="1:26" hidden="1" x14ac:dyDescent="0.25">
      <c r="A68" s="23"/>
      <c r="B68" s="233"/>
      <c r="C68" s="233"/>
      <c r="D68" s="233"/>
      <c r="E68" s="183"/>
      <c r="F68" s="233"/>
      <c r="G68" s="233"/>
      <c r="H68" s="233"/>
      <c r="I68" s="233"/>
      <c r="J68" s="233"/>
      <c r="K68" s="233"/>
      <c r="L68" s="233"/>
      <c r="M68" s="233"/>
      <c r="N68" s="233"/>
      <c r="O68" s="233"/>
      <c r="P68" s="233"/>
      <c r="Q68" s="233"/>
      <c r="R68" s="233"/>
      <c r="S68" s="233"/>
      <c r="T68" s="233"/>
      <c r="U68" s="233"/>
      <c r="V68" s="233"/>
      <c r="W68" s="233"/>
      <c r="X68" s="233"/>
    </row>
    <row r="69" spans="1:26" hidden="1" x14ac:dyDescent="0.25">
      <c r="E69" s="51"/>
    </row>
    <row r="70" spans="1:26" hidden="1" x14ac:dyDescent="0.25">
      <c r="E70" s="51"/>
    </row>
    <row r="71" spans="1:26" hidden="1" x14ac:dyDescent="0.25">
      <c r="E71" s="51"/>
    </row>
    <row r="72" spans="1:26" hidden="1" x14ac:dyDescent="0.25">
      <c r="E72" s="51"/>
    </row>
    <row r="73" spans="1:26" hidden="1" x14ac:dyDescent="0.25">
      <c r="E73" s="51"/>
    </row>
    <row r="74" spans="1:26" hidden="1" x14ac:dyDescent="0.25">
      <c r="E74" s="51"/>
    </row>
    <row r="75" spans="1:26" hidden="1" x14ac:dyDescent="0.25">
      <c r="E75" s="51"/>
    </row>
    <row r="76" spans="1:26" x14ac:dyDescent="0.25">
      <c r="E76" s="51"/>
    </row>
    <row r="77" spans="1:26" x14ac:dyDescent="0.25">
      <c r="E77" s="51"/>
    </row>
    <row r="78" spans="1:26" x14ac:dyDescent="0.25">
      <c r="E78" s="51"/>
    </row>
    <row r="79" spans="1:26" x14ac:dyDescent="0.25">
      <c r="E79" s="51"/>
    </row>
    <row r="80" spans="1:26" x14ac:dyDescent="0.25">
      <c r="E80" s="51"/>
    </row>
    <row r="81" spans="5:5" x14ac:dyDescent="0.25">
      <c r="E81" s="51"/>
    </row>
    <row r="82" spans="5:5" x14ac:dyDescent="0.25">
      <c r="E82" s="51"/>
    </row>
    <row r="83" spans="5:5" x14ac:dyDescent="0.25">
      <c r="E83" s="51"/>
    </row>
    <row r="84" spans="5:5" x14ac:dyDescent="0.25">
      <c r="E84" s="51"/>
    </row>
    <row r="85" spans="5:5" x14ac:dyDescent="0.25">
      <c r="E85" s="51"/>
    </row>
    <row r="86" spans="5:5" x14ac:dyDescent="0.25">
      <c r="E86" s="51"/>
    </row>
    <row r="87" spans="5:5" x14ac:dyDescent="0.25">
      <c r="E87" s="51"/>
    </row>
    <row r="88" spans="5:5" x14ac:dyDescent="0.25">
      <c r="E88" s="51"/>
    </row>
    <row r="89" spans="5:5" x14ac:dyDescent="0.25">
      <c r="E89" s="51"/>
    </row>
    <row r="90" spans="5:5" x14ac:dyDescent="0.25">
      <c r="E90" s="51"/>
    </row>
    <row r="91" spans="5:5" x14ac:dyDescent="0.25">
      <c r="E91" s="51"/>
    </row>
    <row r="92" spans="5:5" x14ac:dyDescent="0.25">
      <c r="E92" s="51"/>
    </row>
    <row r="93" spans="5:5" x14ac:dyDescent="0.25">
      <c r="E93" s="51"/>
    </row>
    <row r="94" spans="5:5" x14ac:dyDescent="0.25">
      <c r="E94" s="51"/>
    </row>
    <row r="95" spans="5:5" x14ac:dyDescent="0.25">
      <c r="E95" s="51"/>
    </row>
    <row r="96" spans="5:5" x14ac:dyDescent="0.25">
      <c r="E96" s="51"/>
    </row>
    <row r="97" spans="5:5" x14ac:dyDescent="0.25">
      <c r="E97" s="51"/>
    </row>
    <row r="98" spans="5:5" x14ac:dyDescent="0.25">
      <c r="E98" s="51"/>
    </row>
    <row r="99" spans="5:5" x14ac:dyDescent="0.25">
      <c r="E99" s="51"/>
    </row>
    <row r="100" spans="5:5" x14ac:dyDescent="0.25">
      <c r="E100" s="51"/>
    </row>
    <row r="101" spans="5:5" x14ac:dyDescent="0.25">
      <c r="E101" s="51"/>
    </row>
    <row r="102" spans="5:5" x14ac:dyDescent="0.25">
      <c r="E102" s="51"/>
    </row>
    <row r="103" spans="5:5" x14ac:dyDescent="0.25">
      <c r="E103" s="51"/>
    </row>
    <row r="104" spans="5:5" x14ac:dyDescent="0.25">
      <c r="E104" s="51"/>
    </row>
    <row r="105" spans="5:5" x14ac:dyDescent="0.25">
      <c r="E105" s="51"/>
    </row>
  </sheetData>
  <autoFilter ref="A8:AS57"/>
  <mergeCells count="38">
    <mergeCell ref="G55:H55"/>
    <mergeCell ref="M55:N55"/>
    <mergeCell ref="L6:L7"/>
    <mergeCell ref="M6:M7"/>
    <mergeCell ref="AH6:AH7"/>
    <mergeCell ref="W6:W7"/>
    <mergeCell ref="X6:Z6"/>
    <mergeCell ref="U6:U7"/>
    <mergeCell ref="V6:V7"/>
    <mergeCell ref="I55:J55"/>
    <mergeCell ref="K55:L55"/>
    <mergeCell ref="A52:B52"/>
    <mergeCell ref="U9:U51"/>
    <mergeCell ref="AA6:AC6"/>
    <mergeCell ref="AD6:AF6"/>
    <mergeCell ref="AG6:AG7"/>
    <mergeCell ref="G6:G7"/>
    <mergeCell ref="H6:H7"/>
    <mergeCell ref="I6:I7"/>
    <mergeCell ref="J6:J7"/>
    <mergeCell ref="T6:T7"/>
    <mergeCell ref="P6:P7"/>
    <mergeCell ref="Q6:Q7"/>
    <mergeCell ref="R6:R7"/>
    <mergeCell ref="F6:F7"/>
    <mergeCell ref="S6:S7"/>
    <mergeCell ref="K6:K7"/>
    <mergeCell ref="AE1:AH1"/>
    <mergeCell ref="A2:AH2"/>
    <mergeCell ref="A3:AH3"/>
    <mergeCell ref="A5:A7"/>
    <mergeCell ref="B5:B7"/>
    <mergeCell ref="C5:C7"/>
    <mergeCell ref="D5:W5"/>
    <mergeCell ref="D6:D7"/>
    <mergeCell ref="E6:E7"/>
    <mergeCell ref="N6:O6"/>
    <mergeCell ref="X5:AH5"/>
  </mergeCells>
  <printOptions horizontalCentered="1"/>
  <pageMargins left="0" right="0" top="0" bottom="0" header="0.31496062992125984" footer="0.31496062992125984"/>
  <pageSetup paperSize="9" scale="36"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S66"/>
  <sheetViews>
    <sheetView view="pageBreakPreview" zoomScale="80" zoomScaleNormal="70" zoomScaleSheetLayoutView="80" workbookViewId="0">
      <pane xSplit="3" ySplit="8" topLeftCell="M18"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9.6640625" style="98" customWidth="1"/>
    <col min="2" max="2" width="30.77734375" style="99" customWidth="1"/>
    <col min="3" max="3" width="13.77734375" style="99" customWidth="1"/>
    <col min="4" max="4" width="13.44140625" style="99" customWidth="1"/>
    <col min="5" max="5" width="13" style="99" customWidth="1"/>
    <col min="6" max="6" width="14.6640625" style="99" customWidth="1"/>
    <col min="7" max="7" width="11.44140625" style="99" customWidth="1"/>
    <col min="8" max="8" width="11.6640625" style="99" customWidth="1"/>
    <col min="9" max="9" width="11.33203125" style="99" customWidth="1"/>
    <col min="10" max="10" width="16" style="99" customWidth="1"/>
    <col min="11" max="11" width="13.109375" style="99" customWidth="1"/>
    <col min="12" max="17" width="11.44140625" style="99" customWidth="1"/>
    <col min="18" max="18" width="11.6640625" style="99" customWidth="1"/>
    <col min="19" max="19" width="14.6640625" style="99" customWidth="1"/>
    <col min="20" max="20" width="12.33203125" style="99" customWidth="1"/>
    <col min="21" max="21" width="11.6640625" style="99" customWidth="1"/>
    <col min="22" max="22" width="13.77734375" style="99" customWidth="1"/>
    <col min="23" max="23" width="13" style="99" customWidth="1"/>
    <col min="24" max="24" width="11" style="99" customWidth="1"/>
    <col min="25" max="25" width="12.109375" style="99" customWidth="1"/>
    <col min="26" max="26" width="9.6640625" style="99" customWidth="1"/>
    <col min="27" max="27" width="8.44140625" style="99" customWidth="1"/>
    <col min="28" max="28" width="9.109375" style="99" customWidth="1"/>
    <col min="29" max="29" width="9" style="99" customWidth="1"/>
    <col min="30" max="30" width="8.44140625" style="99" customWidth="1"/>
    <col min="31" max="31" width="9.109375" style="99" customWidth="1"/>
    <col min="32" max="32" width="10" style="99" customWidth="1"/>
    <col min="33" max="33" width="9.33203125" style="99" customWidth="1"/>
    <col min="34" max="34" width="10.6640625" style="99" customWidth="1"/>
    <col min="35" max="35" width="11.109375" style="99" customWidth="1"/>
    <col min="36" max="36" width="9.33203125" style="99"/>
    <col min="37" max="37" width="10.6640625" style="99" bestFit="1" customWidth="1"/>
    <col min="38" max="38" width="9.33203125" style="99" hidden="1" customWidth="1"/>
    <col min="39" max="39" width="13" style="99" hidden="1" customWidth="1"/>
    <col min="40" max="40" width="14.109375" style="211" bestFit="1" customWidth="1"/>
    <col min="41" max="42" width="9.33203125" style="211"/>
    <col min="43" max="43" width="11.33203125" style="211" bestFit="1" customWidth="1"/>
    <col min="44" max="16384" width="9.33203125" style="99"/>
  </cols>
  <sheetData>
    <row r="1" spans="1:45" ht="23.25" customHeight="1" x14ac:dyDescent="0.25">
      <c r="AE1" s="1546"/>
      <c r="AF1" s="1546"/>
      <c r="AG1" s="1546"/>
      <c r="AH1" s="1546"/>
    </row>
    <row r="2" spans="1:45" ht="24" customHeight="1" x14ac:dyDescent="0.25">
      <c r="A2" s="1547" t="s">
        <v>147</v>
      </c>
      <c r="B2" s="1547"/>
      <c r="C2" s="1547"/>
      <c r="D2" s="1547"/>
      <c r="E2" s="1547"/>
      <c r="F2" s="1547"/>
      <c r="G2" s="1547"/>
      <c r="H2" s="1547"/>
      <c r="I2" s="1547"/>
      <c r="J2" s="1547"/>
      <c r="K2" s="1547"/>
      <c r="L2" s="1547"/>
      <c r="M2" s="1547"/>
      <c r="N2" s="1547"/>
      <c r="O2" s="1547"/>
      <c r="P2" s="1547"/>
      <c r="Q2" s="1547"/>
      <c r="R2" s="1547"/>
      <c r="S2" s="1547"/>
      <c r="T2" s="1547"/>
      <c r="U2" s="1547"/>
      <c r="V2" s="1547"/>
      <c r="W2" s="1547"/>
      <c r="X2" s="1547"/>
      <c r="Y2" s="1547"/>
      <c r="Z2" s="1547"/>
      <c r="AA2" s="1547"/>
      <c r="AB2" s="1547"/>
      <c r="AC2" s="1547"/>
      <c r="AD2" s="1547"/>
      <c r="AE2" s="1547"/>
      <c r="AF2" s="1547"/>
      <c r="AG2" s="1547"/>
      <c r="AH2" s="1547"/>
      <c r="AI2" s="235"/>
    </row>
    <row r="3" spans="1:45" ht="24.75" customHeight="1" x14ac:dyDescent="0.25">
      <c r="A3" s="1548"/>
      <c r="B3" s="1548"/>
      <c r="C3" s="1548"/>
      <c r="D3" s="1548"/>
      <c r="E3" s="1548"/>
      <c r="F3" s="1548"/>
      <c r="G3" s="1548"/>
      <c r="H3" s="1548"/>
      <c r="I3" s="1548"/>
      <c r="J3" s="1548"/>
      <c r="K3" s="1548"/>
      <c r="L3" s="1548"/>
      <c r="M3" s="1548"/>
      <c r="N3" s="1548"/>
      <c r="O3" s="1548"/>
      <c r="P3" s="1548"/>
      <c r="Q3" s="1548"/>
      <c r="R3" s="1548"/>
      <c r="S3" s="1548"/>
      <c r="T3" s="1548"/>
      <c r="U3" s="1548"/>
      <c r="V3" s="1548"/>
      <c r="W3" s="1548"/>
      <c r="X3" s="1548"/>
      <c r="Y3" s="1548"/>
      <c r="Z3" s="1548"/>
      <c r="AA3" s="1548"/>
      <c r="AB3" s="1548"/>
      <c r="AC3" s="1548"/>
      <c r="AD3" s="1548"/>
      <c r="AE3" s="1548"/>
      <c r="AF3" s="1548"/>
      <c r="AG3" s="1548"/>
      <c r="AH3" s="1548"/>
      <c r="AI3" s="101"/>
    </row>
    <row r="4" spans="1:45" x14ac:dyDescent="0.25">
      <c r="L4" s="38">
        <v>0.15451000000000001</v>
      </c>
    </row>
    <row r="5" spans="1:45" ht="38.25" customHeight="1" x14ac:dyDescent="0.25">
      <c r="A5" s="1549" t="s">
        <v>78</v>
      </c>
      <c r="B5" s="1549" t="s">
        <v>77</v>
      </c>
      <c r="C5" s="1550" t="s">
        <v>0</v>
      </c>
      <c r="D5" s="1550" t="s">
        <v>3</v>
      </c>
      <c r="E5" s="1550"/>
      <c r="F5" s="1550"/>
      <c r="G5" s="1550"/>
      <c r="H5" s="1550"/>
      <c r="I5" s="1550"/>
      <c r="J5" s="1550"/>
      <c r="K5" s="1550"/>
      <c r="L5" s="1550"/>
      <c r="M5" s="1550"/>
      <c r="N5" s="1550"/>
      <c r="O5" s="1550"/>
      <c r="P5" s="1550"/>
      <c r="Q5" s="1550"/>
      <c r="R5" s="1550"/>
      <c r="S5" s="1550"/>
      <c r="T5" s="1550"/>
      <c r="U5" s="1550"/>
      <c r="V5" s="1550"/>
      <c r="W5" s="1550"/>
      <c r="X5" s="1550" t="s">
        <v>4</v>
      </c>
      <c r="Y5" s="1550"/>
      <c r="Z5" s="1550"/>
      <c r="AA5" s="1550"/>
      <c r="AB5" s="1550"/>
      <c r="AC5" s="1550"/>
      <c r="AD5" s="1550"/>
      <c r="AE5" s="1550"/>
      <c r="AF5" s="1550"/>
      <c r="AG5" s="1550"/>
      <c r="AH5" s="1550"/>
    </row>
    <row r="6" spans="1:45" ht="60" customHeight="1" x14ac:dyDescent="0.25">
      <c r="A6" s="1549"/>
      <c r="B6" s="1549"/>
      <c r="C6" s="1550"/>
      <c r="D6" s="1551" t="s">
        <v>68</v>
      </c>
      <c r="E6" s="1551" t="s">
        <v>69</v>
      </c>
      <c r="F6" s="1551" t="s">
        <v>89</v>
      </c>
      <c r="G6" s="1551" t="s">
        <v>1</v>
      </c>
      <c r="H6" s="1551" t="s">
        <v>2</v>
      </c>
      <c r="I6" s="1551" t="s">
        <v>70</v>
      </c>
      <c r="J6" s="1551" t="s">
        <v>61</v>
      </c>
      <c r="K6" s="1551" t="s">
        <v>27</v>
      </c>
      <c r="L6" s="1553" t="s">
        <v>65</v>
      </c>
      <c r="M6" s="1553" t="s">
        <v>86</v>
      </c>
      <c r="N6" s="1554" t="s">
        <v>90</v>
      </c>
      <c r="O6" s="1554"/>
      <c r="P6" s="1554" t="s">
        <v>88</v>
      </c>
      <c r="Q6" s="1553" t="s">
        <v>82</v>
      </c>
      <c r="R6" s="1551" t="s">
        <v>83</v>
      </c>
      <c r="S6" s="1553" t="s">
        <v>87</v>
      </c>
      <c r="T6" s="1551" t="s">
        <v>84</v>
      </c>
      <c r="U6" s="1551" t="s">
        <v>9</v>
      </c>
      <c r="V6" s="1551" t="s">
        <v>7</v>
      </c>
      <c r="W6" s="1551" t="s">
        <v>85</v>
      </c>
      <c r="X6" s="1550" t="s">
        <v>10</v>
      </c>
      <c r="Y6" s="1550"/>
      <c r="Z6" s="1550"/>
      <c r="AA6" s="1550" t="s">
        <v>11</v>
      </c>
      <c r="AB6" s="1550"/>
      <c r="AC6" s="1550"/>
      <c r="AD6" s="1550" t="s">
        <v>12</v>
      </c>
      <c r="AE6" s="1550"/>
      <c r="AF6" s="1550"/>
      <c r="AG6" s="1550" t="s">
        <v>13</v>
      </c>
      <c r="AH6" s="1550" t="s">
        <v>73</v>
      </c>
    </row>
    <row r="7" spans="1:45" ht="97.5" customHeight="1" x14ac:dyDescent="0.25">
      <c r="A7" s="1549"/>
      <c r="B7" s="1549"/>
      <c r="C7" s="1550"/>
      <c r="D7" s="1551"/>
      <c r="E7" s="1551"/>
      <c r="F7" s="1551"/>
      <c r="G7" s="1551"/>
      <c r="H7" s="1551"/>
      <c r="I7" s="1551"/>
      <c r="J7" s="1551"/>
      <c r="K7" s="1551"/>
      <c r="L7" s="1553" t="s">
        <v>66</v>
      </c>
      <c r="M7" s="1553"/>
      <c r="N7" s="104" t="s">
        <v>80</v>
      </c>
      <c r="O7" s="104" t="s">
        <v>81</v>
      </c>
      <c r="P7" s="1554"/>
      <c r="Q7" s="1553"/>
      <c r="R7" s="1551"/>
      <c r="S7" s="1553" t="s">
        <v>67</v>
      </c>
      <c r="T7" s="1551"/>
      <c r="U7" s="1551"/>
      <c r="V7" s="1551"/>
      <c r="W7" s="1551"/>
      <c r="X7" s="105" t="s">
        <v>5</v>
      </c>
      <c r="Y7" s="105" t="s">
        <v>6</v>
      </c>
      <c r="Z7" s="105" t="s">
        <v>74</v>
      </c>
      <c r="AA7" s="105" t="s">
        <v>5</v>
      </c>
      <c r="AB7" s="105" t="s">
        <v>6</v>
      </c>
      <c r="AC7" s="105" t="s">
        <v>75</v>
      </c>
      <c r="AD7" s="105" t="s">
        <v>5</v>
      </c>
      <c r="AE7" s="105" t="s">
        <v>6</v>
      </c>
      <c r="AF7" s="105" t="s">
        <v>76</v>
      </c>
      <c r="AG7" s="1550"/>
      <c r="AH7" s="1550"/>
      <c r="AK7" s="98" t="s">
        <v>64</v>
      </c>
      <c r="AL7" s="98" t="s">
        <v>62</v>
      </c>
      <c r="AM7" s="98" t="s">
        <v>63</v>
      </c>
    </row>
    <row r="8" spans="1:45" ht="15.75" customHeight="1" x14ac:dyDescent="0.25">
      <c r="A8" s="103">
        <v>1</v>
      </c>
      <c r="B8" s="103">
        <v>2</v>
      </c>
      <c r="C8" s="103">
        <v>3</v>
      </c>
      <c r="D8" s="103">
        <v>4</v>
      </c>
      <c r="E8" s="103">
        <v>5</v>
      </c>
      <c r="F8" s="103">
        <v>6</v>
      </c>
      <c r="G8" s="103">
        <v>7</v>
      </c>
      <c r="H8" s="103">
        <v>8</v>
      </c>
      <c r="I8" s="103">
        <v>9</v>
      </c>
      <c r="J8" s="103">
        <v>10</v>
      </c>
      <c r="K8" s="103">
        <v>11</v>
      </c>
      <c r="L8" s="103">
        <v>12</v>
      </c>
      <c r="M8" s="103">
        <v>13</v>
      </c>
      <c r="N8" s="103">
        <v>14</v>
      </c>
      <c r="O8" s="103">
        <v>15</v>
      </c>
      <c r="P8" s="103">
        <v>16</v>
      </c>
      <c r="Q8" s="103">
        <v>17</v>
      </c>
      <c r="R8" s="103">
        <v>18</v>
      </c>
      <c r="S8" s="103">
        <v>19</v>
      </c>
      <c r="T8" s="103">
        <v>20</v>
      </c>
      <c r="U8" s="103">
        <v>21</v>
      </c>
      <c r="V8" s="103">
        <v>22</v>
      </c>
      <c r="W8" s="103">
        <v>23</v>
      </c>
      <c r="X8" s="103">
        <v>25</v>
      </c>
      <c r="Y8" s="103">
        <v>26</v>
      </c>
      <c r="Z8" s="103">
        <v>27</v>
      </c>
      <c r="AA8" s="103">
        <v>28</v>
      </c>
      <c r="AB8" s="103">
        <v>29</v>
      </c>
      <c r="AC8" s="103">
        <v>30</v>
      </c>
      <c r="AD8" s="103">
        <v>31</v>
      </c>
      <c r="AE8" s="103">
        <v>32</v>
      </c>
      <c r="AF8" s="103">
        <v>33</v>
      </c>
      <c r="AG8" s="103">
        <v>34</v>
      </c>
      <c r="AH8" s="103">
        <v>35</v>
      </c>
      <c r="AN8" s="212" t="s">
        <v>116</v>
      </c>
      <c r="AO8" s="212" t="s">
        <v>117</v>
      </c>
      <c r="AP8" s="212" t="s">
        <v>118</v>
      </c>
      <c r="AQ8" s="212" t="s">
        <v>119</v>
      </c>
    </row>
    <row r="9" spans="1:45" ht="16.5" customHeight="1" x14ac:dyDescent="0.25">
      <c r="A9" s="103">
        <v>1</v>
      </c>
      <c r="B9" s="236" t="s">
        <v>14</v>
      </c>
      <c r="C9" s="103">
        <v>1</v>
      </c>
      <c r="D9" s="237">
        <v>25.672999999999998</v>
      </c>
      <c r="E9" s="169">
        <f t="shared" ref="E9:E24" si="0">C9*D9</f>
        <v>25.67</v>
      </c>
      <c r="F9" s="170">
        <f t="shared" ref="F9:F24" si="1">E9*12</f>
        <v>308</v>
      </c>
      <c r="G9" s="95"/>
      <c r="H9" s="95"/>
      <c r="I9" s="95"/>
      <c r="J9" s="95"/>
      <c r="K9" s="95">
        <f>F9*0.3</f>
        <v>92.4</v>
      </c>
      <c r="L9" s="95">
        <f>F9*$L$4</f>
        <v>47.6</v>
      </c>
      <c r="M9" s="95">
        <f t="shared" ref="M9:M24" si="2">F9+G9+H9+I9+J9+K9+L9</f>
        <v>448</v>
      </c>
      <c r="N9" s="111">
        <v>0.42</v>
      </c>
      <c r="O9" s="95">
        <f t="shared" ref="O9:O24" si="3">M9*N9</f>
        <v>188.2</v>
      </c>
      <c r="P9" s="95">
        <f t="shared" ref="P9:P24" si="4">M9+O9</f>
        <v>636.20000000000005</v>
      </c>
      <c r="Q9" s="95">
        <f t="shared" ref="Q9:Q24" si="5">P9*0.8</f>
        <v>509</v>
      </c>
      <c r="R9" s="95">
        <f t="shared" ref="R9:R24" si="6">P9*0.8</f>
        <v>509</v>
      </c>
      <c r="S9" s="95">
        <f t="shared" ref="S9:S24" si="7">(P9+Q9+R9)*0.032</f>
        <v>52.9</v>
      </c>
      <c r="T9" s="95">
        <f t="shared" ref="T9:T24" si="8">P9+Q9+R9+S9</f>
        <v>1707.1</v>
      </c>
      <c r="U9" s="1947">
        <v>1</v>
      </c>
      <c r="V9" s="95">
        <f>T9*$U$9</f>
        <v>1707.1</v>
      </c>
      <c r="W9" s="95">
        <f>AQ9</f>
        <v>424.3</v>
      </c>
      <c r="X9" s="103">
        <v>1</v>
      </c>
      <c r="Y9" s="112">
        <v>30</v>
      </c>
      <c r="Z9" s="113">
        <f t="shared" ref="Z9:Z24" si="9">X9*Y9</f>
        <v>30</v>
      </c>
      <c r="AA9" s="103"/>
      <c r="AB9" s="112">
        <v>15</v>
      </c>
      <c r="AC9" s="113">
        <f t="shared" ref="AC9:AC24" si="10">AA9*AB9</f>
        <v>0</v>
      </c>
      <c r="AD9" s="103">
        <v>1</v>
      </c>
      <c r="AE9" s="112">
        <v>30</v>
      </c>
      <c r="AF9" s="113">
        <f t="shared" ref="AF9:AF24" si="11">AD9*AE9</f>
        <v>30</v>
      </c>
      <c r="AG9" s="113">
        <f t="shared" ref="AG9:AG24" si="12">(Z9+AC9+AF9)*1%*30</f>
        <v>18</v>
      </c>
      <c r="AH9" s="113">
        <f t="shared" ref="AH9:AH24" si="13">Z9+AC9+AF9+AG9</f>
        <v>78</v>
      </c>
      <c r="AI9" s="114">
        <f t="shared" ref="AI9:AI17" si="14">V9/12/C9*1000</f>
        <v>142258.29999999999</v>
      </c>
      <c r="AK9" s="114">
        <f t="shared" ref="AK9:AK24" si="15">V9/C9</f>
        <v>1707.1</v>
      </c>
      <c r="AL9" s="114">
        <f>((979*0.302)+((AK9-979)*0.182))</f>
        <v>428.2</v>
      </c>
      <c r="AM9" s="115">
        <f>AL9/AK9</f>
        <v>0.251</v>
      </c>
      <c r="AN9" s="50">
        <f>1150*0.22+(AK9-1150)*0.1</f>
        <v>308.7</v>
      </c>
      <c r="AO9" s="50">
        <f>865*0.029</f>
        <v>25.1</v>
      </c>
      <c r="AP9" s="50">
        <f>AK9*0.053</f>
        <v>90.5</v>
      </c>
      <c r="AQ9" s="50">
        <f t="shared" ref="AQ9:AQ24" si="16">SUM(AN9:AP9)*C9</f>
        <v>424.3</v>
      </c>
      <c r="AS9" s="99">
        <f t="shared" ref="AS9:AS17" si="17">D9*1.5</f>
        <v>38.509500000000003</v>
      </c>
    </row>
    <row r="10" spans="1:45" x14ac:dyDescent="0.25">
      <c r="A10" s="103">
        <v>2</v>
      </c>
      <c r="B10" s="236" t="s">
        <v>127</v>
      </c>
      <c r="C10" s="103">
        <v>1</v>
      </c>
      <c r="D10" s="237">
        <v>17.971</v>
      </c>
      <c r="E10" s="169">
        <f>C10*D10</f>
        <v>17.97</v>
      </c>
      <c r="F10" s="170">
        <f t="shared" si="1"/>
        <v>215.6</v>
      </c>
      <c r="G10" s="95"/>
      <c r="H10" s="95">
        <v>11.2</v>
      </c>
      <c r="I10" s="95"/>
      <c r="J10" s="95"/>
      <c r="K10" s="95">
        <f>F10*0.3+D10*0.05*6.5</f>
        <v>70.5</v>
      </c>
      <c r="L10" s="95">
        <f t="shared" ref="L10:L22" si="18">F10*$L$4</f>
        <v>33.299999999999997</v>
      </c>
      <c r="M10" s="95">
        <f t="shared" si="2"/>
        <v>330.6</v>
      </c>
      <c r="N10" s="111">
        <v>0.47</v>
      </c>
      <c r="O10" s="95">
        <f t="shared" si="3"/>
        <v>155.4</v>
      </c>
      <c r="P10" s="95">
        <f t="shared" si="4"/>
        <v>486</v>
      </c>
      <c r="Q10" s="95">
        <f t="shared" si="5"/>
        <v>388.8</v>
      </c>
      <c r="R10" s="95">
        <f t="shared" si="6"/>
        <v>388.8</v>
      </c>
      <c r="S10" s="95">
        <f t="shared" si="7"/>
        <v>40.4</v>
      </c>
      <c r="T10" s="95">
        <f t="shared" si="8"/>
        <v>1304</v>
      </c>
      <c r="U10" s="1948"/>
      <c r="V10" s="95">
        <f>T10*$U$9</f>
        <v>1304</v>
      </c>
      <c r="W10" s="95">
        <f>AQ10</f>
        <v>362.6</v>
      </c>
      <c r="X10" s="103">
        <v>1</v>
      </c>
      <c r="Y10" s="112">
        <v>30</v>
      </c>
      <c r="Z10" s="113">
        <f t="shared" si="9"/>
        <v>30</v>
      </c>
      <c r="AA10" s="103"/>
      <c r="AB10" s="112">
        <v>15</v>
      </c>
      <c r="AC10" s="113">
        <f t="shared" si="10"/>
        <v>0</v>
      </c>
      <c r="AD10" s="103"/>
      <c r="AE10" s="112">
        <v>30</v>
      </c>
      <c r="AF10" s="113">
        <f t="shared" si="11"/>
        <v>0</v>
      </c>
      <c r="AG10" s="113">
        <f t="shared" si="12"/>
        <v>9</v>
      </c>
      <c r="AH10" s="113">
        <f t="shared" si="13"/>
        <v>39</v>
      </c>
      <c r="AI10" s="114">
        <f t="shared" si="14"/>
        <v>108666.7</v>
      </c>
      <c r="AK10" s="114">
        <f t="shared" si="15"/>
        <v>1304</v>
      </c>
      <c r="AL10" s="114">
        <f t="shared" ref="AL10:AL24" si="19">((979*0.302)+((AK10-979)*0.182))</f>
        <v>354.8</v>
      </c>
      <c r="AM10" s="115">
        <f>AL10/AK10</f>
        <v>0.27200000000000002</v>
      </c>
      <c r="AN10" s="50">
        <f>1150*0.22+(AK10-1150)*0.1</f>
        <v>268.39999999999998</v>
      </c>
      <c r="AO10" s="50">
        <f>865*0.029</f>
        <v>25.1</v>
      </c>
      <c r="AP10" s="50">
        <f>AK10*0.053</f>
        <v>69.099999999999994</v>
      </c>
      <c r="AQ10" s="50">
        <f>SUM(AN10:AP10)*C10</f>
        <v>362.6</v>
      </c>
      <c r="AS10" s="99">
        <f t="shared" si="17"/>
        <v>26.956499999999998</v>
      </c>
    </row>
    <row r="11" spans="1:45" x14ac:dyDescent="0.25">
      <c r="A11" s="103">
        <v>3</v>
      </c>
      <c r="B11" s="236" t="s">
        <v>23</v>
      </c>
      <c r="C11" s="238">
        <v>4</v>
      </c>
      <c r="D11" s="237">
        <v>11.061999999999999</v>
      </c>
      <c r="E11" s="111">
        <f t="shared" si="0"/>
        <v>44.25</v>
      </c>
      <c r="F11" s="95">
        <f t="shared" si="1"/>
        <v>531</v>
      </c>
      <c r="G11" s="95"/>
      <c r="H11" s="95">
        <f>7.01+7.789+7.01</f>
        <v>21.8</v>
      </c>
      <c r="I11" s="95"/>
      <c r="J11" s="95"/>
      <c r="K11" s="95">
        <f>F11*0.25*2+F11*0.3+D11*0.05*11.5</f>
        <v>431.2</v>
      </c>
      <c r="L11" s="95">
        <f t="shared" si="18"/>
        <v>82</v>
      </c>
      <c r="M11" s="95">
        <f t="shared" si="2"/>
        <v>1066</v>
      </c>
      <c r="N11" s="111">
        <v>0.43</v>
      </c>
      <c r="O11" s="95">
        <f t="shared" si="3"/>
        <v>458.4</v>
      </c>
      <c r="P11" s="95">
        <f t="shared" si="4"/>
        <v>1524.4</v>
      </c>
      <c r="Q11" s="95">
        <f t="shared" si="5"/>
        <v>1219.5</v>
      </c>
      <c r="R11" s="95">
        <f t="shared" si="6"/>
        <v>1219.5</v>
      </c>
      <c r="S11" s="95">
        <f t="shared" si="7"/>
        <v>126.8</v>
      </c>
      <c r="T11" s="95">
        <f t="shared" si="8"/>
        <v>4090.2</v>
      </c>
      <c r="U11" s="1948"/>
      <c r="V11" s="95">
        <f t="shared" ref="V11:V22" si="20">T11*$U$9</f>
        <v>4090.2</v>
      </c>
      <c r="W11" s="95">
        <f>AQ11</f>
        <v>1217.2</v>
      </c>
      <c r="X11" s="239">
        <v>2</v>
      </c>
      <c r="Y11" s="240">
        <v>30</v>
      </c>
      <c r="Z11" s="241">
        <f t="shared" si="9"/>
        <v>60</v>
      </c>
      <c r="AA11" s="239">
        <v>1</v>
      </c>
      <c r="AB11" s="240">
        <v>15</v>
      </c>
      <c r="AC11" s="241">
        <f t="shared" si="10"/>
        <v>15</v>
      </c>
      <c r="AD11" s="239">
        <v>1</v>
      </c>
      <c r="AE11" s="240">
        <v>30</v>
      </c>
      <c r="AF11" s="241">
        <f t="shared" si="11"/>
        <v>30</v>
      </c>
      <c r="AG11" s="241">
        <f t="shared" si="12"/>
        <v>31.5</v>
      </c>
      <c r="AH11" s="241">
        <f t="shared" si="13"/>
        <v>136.5</v>
      </c>
      <c r="AI11" s="114">
        <f t="shared" si="14"/>
        <v>85212.5</v>
      </c>
      <c r="AK11" s="114">
        <f t="shared" si="15"/>
        <v>1022.6</v>
      </c>
      <c r="AL11" s="114">
        <f t="shared" si="19"/>
        <v>303.60000000000002</v>
      </c>
      <c r="AM11" s="115">
        <v>0.30199999999999999</v>
      </c>
      <c r="AN11" s="50">
        <f t="shared" ref="AN11:AN24" si="21">AK11*0.22</f>
        <v>225</v>
      </c>
      <c r="AO11" s="50">
        <f>865*0.029</f>
        <v>25.1</v>
      </c>
      <c r="AP11" s="50">
        <f>AK11*0.053</f>
        <v>54.2</v>
      </c>
      <c r="AQ11" s="50">
        <f t="shared" si="16"/>
        <v>1217.2</v>
      </c>
      <c r="AS11" s="99">
        <f t="shared" si="17"/>
        <v>16.593</v>
      </c>
    </row>
    <row r="12" spans="1:45" x14ac:dyDescent="0.25">
      <c r="A12" s="103">
        <v>4</v>
      </c>
      <c r="B12" s="236" t="s">
        <v>47</v>
      </c>
      <c r="C12" s="238">
        <v>1</v>
      </c>
      <c r="D12" s="237">
        <v>6.2859999999999996</v>
      </c>
      <c r="E12" s="111">
        <f t="shared" si="0"/>
        <v>6.29</v>
      </c>
      <c r="F12" s="95">
        <f t="shared" si="1"/>
        <v>75.5</v>
      </c>
      <c r="G12" s="95"/>
      <c r="H12" s="95"/>
      <c r="I12" s="95"/>
      <c r="J12" s="95"/>
      <c r="K12" s="95"/>
      <c r="L12" s="95">
        <f t="shared" si="18"/>
        <v>11.7</v>
      </c>
      <c r="M12" s="95">
        <f t="shared" si="2"/>
        <v>87.2</v>
      </c>
      <c r="N12" s="111">
        <v>0.45</v>
      </c>
      <c r="O12" s="95">
        <f t="shared" si="3"/>
        <v>39.200000000000003</v>
      </c>
      <c r="P12" s="95">
        <f t="shared" si="4"/>
        <v>126.4</v>
      </c>
      <c r="Q12" s="95">
        <f t="shared" si="5"/>
        <v>101.1</v>
      </c>
      <c r="R12" s="95">
        <f t="shared" si="6"/>
        <v>101.1</v>
      </c>
      <c r="S12" s="95">
        <f t="shared" si="7"/>
        <v>10.5</v>
      </c>
      <c r="T12" s="95">
        <f t="shared" si="8"/>
        <v>339.1</v>
      </c>
      <c r="U12" s="1948"/>
      <c r="V12" s="95">
        <f t="shared" si="20"/>
        <v>339.1</v>
      </c>
      <c r="W12" s="95">
        <f t="shared" ref="W12:W24" si="22">V12*0.302</f>
        <v>102.4</v>
      </c>
      <c r="X12" s="239"/>
      <c r="Y12" s="240">
        <v>30</v>
      </c>
      <c r="Z12" s="241">
        <f t="shared" si="9"/>
        <v>0</v>
      </c>
      <c r="AA12" s="239"/>
      <c r="AB12" s="240">
        <v>15</v>
      </c>
      <c r="AC12" s="241">
        <f t="shared" si="10"/>
        <v>0</v>
      </c>
      <c r="AD12" s="239"/>
      <c r="AE12" s="240">
        <v>30</v>
      </c>
      <c r="AF12" s="241">
        <f t="shared" si="11"/>
        <v>0</v>
      </c>
      <c r="AG12" s="241">
        <f t="shared" si="12"/>
        <v>0</v>
      </c>
      <c r="AH12" s="241">
        <f t="shared" si="13"/>
        <v>0</v>
      </c>
      <c r="AI12" s="114">
        <f t="shared" si="14"/>
        <v>28258.3</v>
      </c>
      <c r="AK12" s="114">
        <f t="shared" si="15"/>
        <v>339.1</v>
      </c>
      <c r="AL12" s="114">
        <f t="shared" si="19"/>
        <v>179.2</v>
      </c>
      <c r="AM12" s="115">
        <v>0.30199999999999999</v>
      </c>
      <c r="AN12" s="50">
        <f t="shared" si="21"/>
        <v>74.599999999999994</v>
      </c>
      <c r="AO12" s="50"/>
      <c r="AP12" s="50">
        <f t="shared" ref="AP12:AP24" si="23">AK12*0.053</f>
        <v>18</v>
      </c>
      <c r="AQ12" s="50">
        <f t="shared" si="16"/>
        <v>92.6</v>
      </c>
      <c r="AR12" s="22"/>
      <c r="AS12" s="99">
        <f t="shared" si="17"/>
        <v>9.4290000000000003</v>
      </c>
    </row>
    <row r="13" spans="1:45" s="33" customFormat="1" x14ac:dyDescent="0.25">
      <c r="A13" s="103">
        <v>5</v>
      </c>
      <c r="B13" s="52" t="s">
        <v>48</v>
      </c>
      <c r="C13" s="40">
        <v>1</v>
      </c>
      <c r="D13" s="177">
        <v>11.061999999999999</v>
      </c>
      <c r="E13" s="171">
        <f t="shared" si="0"/>
        <v>11.06</v>
      </c>
      <c r="F13" s="154">
        <f t="shared" si="1"/>
        <v>132.69999999999999</v>
      </c>
      <c r="G13" s="154"/>
      <c r="H13" s="154">
        <f>7010.2/1000</f>
        <v>7</v>
      </c>
      <c r="I13" s="154"/>
      <c r="J13" s="154"/>
      <c r="K13" s="154">
        <f>F13*0.4</f>
        <v>53.1</v>
      </c>
      <c r="L13" s="95">
        <f t="shared" si="18"/>
        <v>20.5</v>
      </c>
      <c r="M13" s="154">
        <f t="shared" si="2"/>
        <v>213.3</v>
      </c>
      <c r="N13" s="111">
        <v>0.47</v>
      </c>
      <c r="O13" s="154">
        <f t="shared" si="3"/>
        <v>100.3</v>
      </c>
      <c r="P13" s="154">
        <f t="shared" si="4"/>
        <v>313.60000000000002</v>
      </c>
      <c r="Q13" s="154">
        <f t="shared" si="5"/>
        <v>250.9</v>
      </c>
      <c r="R13" s="154">
        <f t="shared" si="6"/>
        <v>250.9</v>
      </c>
      <c r="S13" s="154">
        <f t="shared" si="7"/>
        <v>26.1</v>
      </c>
      <c r="T13" s="154">
        <f t="shared" si="8"/>
        <v>841.5</v>
      </c>
      <c r="U13" s="1948"/>
      <c r="V13" s="154">
        <f t="shared" si="20"/>
        <v>841.5</v>
      </c>
      <c r="W13" s="95">
        <f t="shared" si="22"/>
        <v>254.1</v>
      </c>
      <c r="X13" s="54"/>
      <c r="Y13" s="24">
        <v>30</v>
      </c>
      <c r="Z13" s="48">
        <f t="shared" si="9"/>
        <v>0</v>
      </c>
      <c r="AA13" s="54"/>
      <c r="AB13" s="24">
        <v>15</v>
      </c>
      <c r="AC13" s="48">
        <f t="shared" si="10"/>
        <v>0</v>
      </c>
      <c r="AD13" s="54"/>
      <c r="AE13" s="24">
        <v>30</v>
      </c>
      <c r="AF13" s="48">
        <f t="shared" si="11"/>
        <v>0</v>
      </c>
      <c r="AG13" s="48">
        <f t="shared" si="12"/>
        <v>0</v>
      </c>
      <c r="AH13" s="48">
        <f t="shared" si="13"/>
        <v>0</v>
      </c>
      <c r="AI13" s="34">
        <f t="shared" si="14"/>
        <v>70125</v>
      </c>
      <c r="AK13" s="34">
        <f t="shared" si="15"/>
        <v>841.5</v>
      </c>
      <c r="AL13" s="34">
        <f t="shared" si="19"/>
        <v>270.60000000000002</v>
      </c>
      <c r="AM13" s="51">
        <v>0.30199999999999999</v>
      </c>
      <c r="AN13" s="50">
        <f t="shared" si="21"/>
        <v>185.1</v>
      </c>
      <c r="AO13" s="50"/>
      <c r="AP13" s="50">
        <f t="shared" si="23"/>
        <v>44.6</v>
      </c>
      <c r="AQ13" s="50">
        <f t="shared" si="16"/>
        <v>229.7</v>
      </c>
      <c r="AR13" s="22"/>
      <c r="AS13" s="22">
        <f t="shared" si="17"/>
        <v>16.593</v>
      </c>
    </row>
    <row r="14" spans="1:45" x14ac:dyDescent="0.25">
      <c r="A14" s="103">
        <v>6</v>
      </c>
      <c r="B14" s="236" t="s">
        <v>49</v>
      </c>
      <c r="C14" s="127">
        <v>1</v>
      </c>
      <c r="D14" s="237">
        <v>8.4730000000000008</v>
      </c>
      <c r="E14" s="111">
        <f t="shared" si="0"/>
        <v>8.4700000000000006</v>
      </c>
      <c r="F14" s="95">
        <f t="shared" si="1"/>
        <v>101.6</v>
      </c>
      <c r="G14" s="95"/>
      <c r="H14" s="95">
        <f>5966.1/1000</f>
        <v>6</v>
      </c>
      <c r="I14" s="95"/>
      <c r="J14" s="95"/>
      <c r="K14" s="95">
        <f>F14*0.4</f>
        <v>40.6</v>
      </c>
      <c r="L14" s="95">
        <f t="shared" si="18"/>
        <v>15.7</v>
      </c>
      <c r="M14" s="95">
        <f t="shared" si="2"/>
        <v>163.9</v>
      </c>
      <c r="N14" s="111">
        <v>0.41</v>
      </c>
      <c r="O14" s="95">
        <f t="shared" si="3"/>
        <v>67.2</v>
      </c>
      <c r="P14" s="95">
        <f t="shared" si="4"/>
        <v>231.1</v>
      </c>
      <c r="Q14" s="95">
        <f t="shared" si="5"/>
        <v>184.9</v>
      </c>
      <c r="R14" s="95">
        <f t="shared" si="6"/>
        <v>184.9</v>
      </c>
      <c r="S14" s="95">
        <f t="shared" si="7"/>
        <v>19.2</v>
      </c>
      <c r="T14" s="95">
        <f t="shared" si="8"/>
        <v>620.1</v>
      </c>
      <c r="U14" s="1948"/>
      <c r="V14" s="95">
        <f>T14*$U$9</f>
        <v>620.1</v>
      </c>
      <c r="W14" s="95">
        <f t="shared" si="22"/>
        <v>187.3</v>
      </c>
      <c r="X14" s="103"/>
      <c r="Y14" s="112">
        <v>30</v>
      </c>
      <c r="Z14" s="113">
        <f t="shared" si="9"/>
        <v>0</v>
      </c>
      <c r="AA14" s="127"/>
      <c r="AB14" s="112">
        <v>15</v>
      </c>
      <c r="AC14" s="113">
        <f t="shared" si="10"/>
        <v>0</v>
      </c>
      <c r="AD14" s="127"/>
      <c r="AE14" s="112">
        <v>30</v>
      </c>
      <c r="AF14" s="113">
        <f t="shared" si="11"/>
        <v>0</v>
      </c>
      <c r="AG14" s="113">
        <f t="shared" si="12"/>
        <v>0</v>
      </c>
      <c r="AH14" s="113">
        <f t="shared" si="13"/>
        <v>0</v>
      </c>
      <c r="AI14" s="114">
        <f t="shared" si="14"/>
        <v>51675</v>
      </c>
      <c r="AK14" s="114">
        <f t="shared" si="15"/>
        <v>620.1</v>
      </c>
      <c r="AL14" s="114">
        <f t="shared" si="19"/>
        <v>230.3</v>
      </c>
      <c r="AM14" s="115">
        <v>0.30199999999999999</v>
      </c>
      <c r="AN14" s="50">
        <f t="shared" si="21"/>
        <v>136.4</v>
      </c>
      <c r="AO14" s="50"/>
      <c r="AP14" s="50">
        <f t="shared" si="23"/>
        <v>32.9</v>
      </c>
      <c r="AQ14" s="50">
        <f t="shared" si="16"/>
        <v>169.3</v>
      </c>
      <c r="AR14" s="22"/>
      <c r="AS14" s="99">
        <f t="shared" si="17"/>
        <v>12.7095</v>
      </c>
    </row>
    <row r="15" spans="1:45" x14ac:dyDescent="0.25">
      <c r="A15" s="103">
        <v>7</v>
      </c>
      <c r="B15" s="236" t="s">
        <v>52</v>
      </c>
      <c r="C15" s="127">
        <v>1</v>
      </c>
      <c r="D15" s="237">
        <v>8.4730000000000008</v>
      </c>
      <c r="E15" s="111">
        <f t="shared" si="0"/>
        <v>8.4700000000000006</v>
      </c>
      <c r="F15" s="95">
        <f t="shared" si="1"/>
        <v>101.6</v>
      </c>
      <c r="G15" s="95"/>
      <c r="H15" s="95">
        <f>5966.1/1000</f>
        <v>6</v>
      </c>
      <c r="I15" s="95"/>
      <c r="J15" s="95"/>
      <c r="K15" s="95">
        <f>F15*0.25</f>
        <v>25.4</v>
      </c>
      <c r="L15" s="95">
        <f t="shared" si="18"/>
        <v>15.7</v>
      </c>
      <c r="M15" s="95">
        <f t="shared" si="2"/>
        <v>148.69999999999999</v>
      </c>
      <c r="N15" s="111">
        <v>0.41</v>
      </c>
      <c r="O15" s="95">
        <f t="shared" si="3"/>
        <v>61</v>
      </c>
      <c r="P15" s="95">
        <f t="shared" si="4"/>
        <v>209.7</v>
      </c>
      <c r="Q15" s="95">
        <f t="shared" si="5"/>
        <v>167.8</v>
      </c>
      <c r="R15" s="95">
        <f t="shared" si="6"/>
        <v>167.8</v>
      </c>
      <c r="S15" s="95">
        <f t="shared" si="7"/>
        <v>17.399999999999999</v>
      </c>
      <c r="T15" s="95">
        <f t="shared" si="8"/>
        <v>562.70000000000005</v>
      </c>
      <c r="U15" s="1948"/>
      <c r="V15" s="95">
        <f t="shared" si="20"/>
        <v>562.70000000000005</v>
      </c>
      <c r="W15" s="95">
        <f t="shared" si="22"/>
        <v>169.9</v>
      </c>
      <c r="X15" s="103"/>
      <c r="Y15" s="112">
        <v>30</v>
      </c>
      <c r="Z15" s="113">
        <f t="shared" si="9"/>
        <v>0</v>
      </c>
      <c r="AA15" s="127"/>
      <c r="AB15" s="112">
        <v>15</v>
      </c>
      <c r="AC15" s="113">
        <f t="shared" si="10"/>
        <v>0</v>
      </c>
      <c r="AD15" s="127"/>
      <c r="AE15" s="112">
        <v>30</v>
      </c>
      <c r="AF15" s="113">
        <f t="shared" si="11"/>
        <v>0</v>
      </c>
      <c r="AG15" s="113">
        <f t="shared" si="12"/>
        <v>0</v>
      </c>
      <c r="AH15" s="113">
        <f t="shared" si="13"/>
        <v>0</v>
      </c>
      <c r="AI15" s="114">
        <f t="shared" si="14"/>
        <v>46891.7</v>
      </c>
      <c r="AK15" s="114">
        <f t="shared" si="15"/>
        <v>562.70000000000005</v>
      </c>
      <c r="AL15" s="114">
        <f t="shared" si="19"/>
        <v>219.9</v>
      </c>
      <c r="AM15" s="115">
        <v>0.30199999999999999</v>
      </c>
      <c r="AN15" s="50">
        <f t="shared" si="21"/>
        <v>123.8</v>
      </c>
      <c r="AO15" s="50"/>
      <c r="AP15" s="50">
        <f t="shared" si="23"/>
        <v>29.8</v>
      </c>
      <c r="AQ15" s="50">
        <f t="shared" si="16"/>
        <v>153.6</v>
      </c>
      <c r="AS15" s="99">
        <f t="shared" si="17"/>
        <v>12.7095</v>
      </c>
    </row>
    <row r="16" spans="1:45" x14ac:dyDescent="0.25">
      <c r="A16" s="103">
        <v>8</v>
      </c>
      <c r="B16" s="236" t="s">
        <v>40</v>
      </c>
      <c r="C16" s="127">
        <v>1</v>
      </c>
      <c r="D16" s="237">
        <v>11.061999999999999</v>
      </c>
      <c r="E16" s="111">
        <f t="shared" si="0"/>
        <v>11.06</v>
      </c>
      <c r="F16" s="95">
        <f t="shared" si="1"/>
        <v>132.69999999999999</v>
      </c>
      <c r="G16" s="95"/>
      <c r="H16" s="95">
        <f>7010.2/1000</f>
        <v>7</v>
      </c>
      <c r="I16" s="95"/>
      <c r="J16" s="95"/>
      <c r="K16" s="95">
        <f>F16*0.25</f>
        <v>33.200000000000003</v>
      </c>
      <c r="L16" s="95">
        <f t="shared" si="18"/>
        <v>20.5</v>
      </c>
      <c r="M16" s="95">
        <f t="shared" si="2"/>
        <v>193.4</v>
      </c>
      <c r="N16" s="111">
        <v>0.43</v>
      </c>
      <c r="O16" s="95">
        <f t="shared" si="3"/>
        <v>83.2</v>
      </c>
      <c r="P16" s="95">
        <f t="shared" si="4"/>
        <v>276.60000000000002</v>
      </c>
      <c r="Q16" s="95">
        <f t="shared" si="5"/>
        <v>221.3</v>
      </c>
      <c r="R16" s="95">
        <f t="shared" si="6"/>
        <v>221.3</v>
      </c>
      <c r="S16" s="95">
        <f t="shared" si="7"/>
        <v>23</v>
      </c>
      <c r="T16" s="95">
        <f t="shared" si="8"/>
        <v>742.2</v>
      </c>
      <c r="U16" s="1948"/>
      <c r="V16" s="95">
        <f t="shared" si="20"/>
        <v>742.2</v>
      </c>
      <c r="W16" s="95">
        <f t="shared" si="22"/>
        <v>224.1</v>
      </c>
      <c r="X16" s="103"/>
      <c r="Y16" s="112">
        <v>30</v>
      </c>
      <c r="Z16" s="113">
        <f t="shared" si="9"/>
        <v>0</v>
      </c>
      <c r="AA16" s="127"/>
      <c r="AB16" s="112">
        <v>15</v>
      </c>
      <c r="AC16" s="113">
        <f t="shared" si="10"/>
        <v>0</v>
      </c>
      <c r="AD16" s="127"/>
      <c r="AE16" s="112">
        <v>30</v>
      </c>
      <c r="AF16" s="113">
        <f t="shared" si="11"/>
        <v>0</v>
      </c>
      <c r="AG16" s="113">
        <f t="shared" si="12"/>
        <v>0</v>
      </c>
      <c r="AH16" s="113">
        <f t="shared" si="13"/>
        <v>0</v>
      </c>
      <c r="AI16" s="114">
        <f t="shared" si="14"/>
        <v>61850</v>
      </c>
      <c r="AK16" s="114">
        <f t="shared" si="15"/>
        <v>742.2</v>
      </c>
      <c r="AL16" s="114">
        <f t="shared" si="19"/>
        <v>252.6</v>
      </c>
      <c r="AM16" s="115">
        <v>0.30199999999999999</v>
      </c>
      <c r="AN16" s="50">
        <f t="shared" si="21"/>
        <v>163.30000000000001</v>
      </c>
      <c r="AO16" s="242"/>
      <c r="AP16" s="50">
        <f t="shared" si="23"/>
        <v>39.299999999999997</v>
      </c>
      <c r="AQ16" s="50">
        <f t="shared" si="16"/>
        <v>202.6</v>
      </c>
      <c r="AS16" s="99">
        <f t="shared" si="17"/>
        <v>16.593</v>
      </c>
    </row>
    <row r="17" spans="1:45" x14ac:dyDescent="0.25">
      <c r="A17" s="103">
        <v>9</v>
      </c>
      <c r="B17" s="236" t="s">
        <v>29</v>
      </c>
      <c r="C17" s="127">
        <v>1</v>
      </c>
      <c r="D17" s="237">
        <v>8.4730000000000008</v>
      </c>
      <c r="E17" s="111">
        <f t="shared" si="0"/>
        <v>8.4700000000000006</v>
      </c>
      <c r="F17" s="95">
        <f t="shared" si="1"/>
        <v>101.6</v>
      </c>
      <c r="G17" s="95"/>
      <c r="H17" s="95">
        <f>5369.5/1000</f>
        <v>5.4</v>
      </c>
      <c r="I17" s="95"/>
      <c r="J17" s="95">
        <f>D17*0.1*3</f>
        <v>2.5</v>
      </c>
      <c r="K17" s="95">
        <f>D17*0.25*12</f>
        <v>25.4</v>
      </c>
      <c r="L17" s="95">
        <f t="shared" si="18"/>
        <v>15.7</v>
      </c>
      <c r="M17" s="95">
        <f t="shared" si="2"/>
        <v>150.6</v>
      </c>
      <c r="N17" s="111">
        <v>0.41</v>
      </c>
      <c r="O17" s="95">
        <f t="shared" si="3"/>
        <v>61.7</v>
      </c>
      <c r="P17" s="95">
        <f t="shared" si="4"/>
        <v>212.3</v>
      </c>
      <c r="Q17" s="95">
        <f t="shared" si="5"/>
        <v>169.8</v>
      </c>
      <c r="R17" s="95">
        <f t="shared" si="6"/>
        <v>169.8</v>
      </c>
      <c r="S17" s="95">
        <f t="shared" si="7"/>
        <v>17.7</v>
      </c>
      <c r="T17" s="95">
        <f t="shared" si="8"/>
        <v>569.6</v>
      </c>
      <c r="U17" s="1948"/>
      <c r="V17" s="95">
        <f t="shared" si="20"/>
        <v>569.6</v>
      </c>
      <c r="W17" s="95">
        <f t="shared" si="22"/>
        <v>172</v>
      </c>
      <c r="X17" s="103">
        <v>1</v>
      </c>
      <c r="Y17" s="112">
        <v>30</v>
      </c>
      <c r="Z17" s="113">
        <f t="shared" si="9"/>
        <v>30</v>
      </c>
      <c r="AA17" s="127"/>
      <c r="AB17" s="112">
        <v>15</v>
      </c>
      <c r="AC17" s="113">
        <f t="shared" si="10"/>
        <v>0</v>
      </c>
      <c r="AD17" s="127"/>
      <c r="AE17" s="112">
        <v>30</v>
      </c>
      <c r="AF17" s="113">
        <f t="shared" si="11"/>
        <v>0</v>
      </c>
      <c r="AG17" s="113">
        <f t="shared" si="12"/>
        <v>9</v>
      </c>
      <c r="AH17" s="113">
        <f t="shared" si="13"/>
        <v>39</v>
      </c>
      <c r="AI17" s="114">
        <f t="shared" si="14"/>
        <v>47466.7</v>
      </c>
      <c r="AK17" s="114">
        <f t="shared" si="15"/>
        <v>569.6</v>
      </c>
      <c r="AL17" s="114">
        <f t="shared" si="19"/>
        <v>221.1</v>
      </c>
      <c r="AM17" s="115">
        <v>0.30199999999999999</v>
      </c>
      <c r="AN17" s="50">
        <f t="shared" si="21"/>
        <v>125.3</v>
      </c>
      <c r="AO17" s="242"/>
      <c r="AP17" s="50">
        <f t="shared" si="23"/>
        <v>30.2</v>
      </c>
      <c r="AQ17" s="50">
        <f t="shared" si="16"/>
        <v>155.5</v>
      </c>
      <c r="AS17" s="99">
        <f t="shared" si="17"/>
        <v>12.7095</v>
      </c>
    </row>
    <row r="18" spans="1:45" ht="26.4" x14ac:dyDescent="0.25">
      <c r="A18" s="103">
        <v>10</v>
      </c>
      <c r="B18" s="236" t="s">
        <v>148</v>
      </c>
      <c r="C18" s="127">
        <v>1</v>
      </c>
      <c r="D18" s="237">
        <v>8.4730000000000008</v>
      </c>
      <c r="E18" s="111">
        <f t="shared" si="0"/>
        <v>8.4700000000000006</v>
      </c>
      <c r="F18" s="95">
        <f t="shared" si="1"/>
        <v>101.6</v>
      </c>
      <c r="G18" s="95"/>
      <c r="H18" s="95"/>
      <c r="I18" s="95"/>
      <c r="J18" s="95"/>
      <c r="K18" s="95">
        <f>F18*0.25+D18*0.05*11</f>
        <v>30.1</v>
      </c>
      <c r="L18" s="95">
        <f>F18*$L$4</f>
        <v>15.7</v>
      </c>
      <c r="M18" s="95">
        <f>F18+G18+H18+I18+J18+K18+L18</f>
        <v>147.4</v>
      </c>
      <c r="N18" s="111">
        <v>0.41</v>
      </c>
      <c r="O18" s="95">
        <f>M18*N18</f>
        <v>60.4</v>
      </c>
      <c r="P18" s="95">
        <f>M18+O18</f>
        <v>207.8</v>
      </c>
      <c r="Q18" s="95">
        <f>P18*0.8</f>
        <v>166.2</v>
      </c>
      <c r="R18" s="95">
        <f>P18*0.8</f>
        <v>166.2</v>
      </c>
      <c r="S18" s="95">
        <f>(P18+Q18+R18)*0.032</f>
        <v>17.3</v>
      </c>
      <c r="T18" s="95">
        <f>P18+Q18+R18+S18</f>
        <v>557.5</v>
      </c>
      <c r="U18" s="1948"/>
      <c r="V18" s="95">
        <f>T18*$U$9</f>
        <v>557.5</v>
      </c>
      <c r="W18" s="95">
        <f t="shared" si="22"/>
        <v>168.4</v>
      </c>
      <c r="X18" s="103">
        <v>1</v>
      </c>
      <c r="Y18" s="112">
        <v>30</v>
      </c>
      <c r="Z18" s="113">
        <f>X18*Y18</f>
        <v>30</v>
      </c>
      <c r="AA18" s="127"/>
      <c r="AB18" s="112">
        <v>15</v>
      </c>
      <c r="AC18" s="113">
        <f>AA18*AB18</f>
        <v>0</v>
      </c>
      <c r="AD18" s="127"/>
      <c r="AE18" s="112">
        <v>30</v>
      </c>
      <c r="AF18" s="113">
        <f>AD18*AE18</f>
        <v>0</v>
      </c>
      <c r="AG18" s="113">
        <f>(Z18+AC18+AF18)*1%*30</f>
        <v>9</v>
      </c>
      <c r="AH18" s="113">
        <f>Z18+AC18+AF18+AG18</f>
        <v>39</v>
      </c>
      <c r="AI18" s="114"/>
      <c r="AK18" s="114">
        <f t="shared" si="15"/>
        <v>557.5</v>
      </c>
      <c r="AL18" s="114"/>
      <c r="AM18" s="115"/>
      <c r="AN18" s="50">
        <f t="shared" si="21"/>
        <v>122.7</v>
      </c>
      <c r="AO18" s="242"/>
      <c r="AP18" s="50">
        <f t="shared" si="23"/>
        <v>29.5</v>
      </c>
      <c r="AQ18" s="50">
        <f t="shared" si="16"/>
        <v>152.19999999999999</v>
      </c>
    </row>
    <row r="19" spans="1:45" ht="26.4" x14ac:dyDescent="0.25">
      <c r="A19" s="103">
        <v>11</v>
      </c>
      <c r="B19" s="236" t="s">
        <v>130</v>
      </c>
      <c r="C19" s="127">
        <v>1</v>
      </c>
      <c r="D19" s="237">
        <v>8.4730000000000008</v>
      </c>
      <c r="E19" s="111">
        <f t="shared" si="0"/>
        <v>8.4700000000000006</v>
      </c>
      <c r="F19" s="95">
        <f t="shared" si="1"/>
        <v>101.6</v>
      </c>
      <c r="G19" s="95"/>
      <c r="H19" s="95"/>
      <c r="I19" s="95"/>
      <c r="J19" s="95"/>
      <c r="K19" s="95"/>
      <c r="L19" s="95">
        <f>F19*$L$4</f>
        <v>15.7</v>
      </c>
      <c r="M19" s="95">
        <f>F19+G19+H19+I19+J19+K19+L19</f>
        <v>117.3</v>
      </c>
      <c r="N19" s="111">
        <v>0.47</v>
      </c>
      <c r="O19" s="95">
        <f>M19*N19</f>
        <v>55.1</v>
      </c>
      <c r="P19" s="95">
        <f>M19+O19</f>
        <v>172.4</v>
      </c>
      <c r="Q19" s="95">
        <f>P19*0.8</f>
        <v>137.9</v>
      </c>
      <c r="R19" s="95">
        <f>P19*0.8</f>
        <v>137.9</v>
      </c>
      <c r="S19" s="95">
        <f>(P19+Q19+R19)*0.032</f>
        <v>14.3</v>
      </c>
      <c r="T19" s="95">
        <f>P19+Q19+R19+S19</f>
        <v>462.5</v>
      </c>
      <c r="U19" s="1948"/>
      <c r="V19" s="95">
        <f>T19*$U$9</f>
        <v>462.5</v>
      </c>
      <c r="W19" s="95">
        <f t="shared" si="22"/>
        <v>139.69999999999999</v>
      </c>
      <c r="X19" s="103"/>
      <c r="Y19" s="112">
        <v>30</v>
      </c>
      <c r="Z19" s="113">
        <f>X19*Y19</f>
        <v>0</v>
      </c>
      <c r="AA19" s="127"/>
      <c r="AB19" s="112">
        <v>15</v>
      </c>
      <c r="AC19" s="113">
        <f>AA19*AB19</f>
        <v>0</v>
      </c>
      <c r="AD19" s="127"/>
      <c r="AE19" s="112">
        <v>30</v>
      </c>
      <c r="AF19" s="113">
        <f>AD19*AE19</f>
        <v>0</v>
      </c>
      <c r="AG19" s="113">
        <f>(Z19+AC19+AF19)*1%*30</f>
        <v>0</v>
      </c>
      <c r="AH19" s="113">
        <f>Z19+AC19+AF19+AG19</f>
        <v>0</v>
      </c>
      <c r="AI19" s="114"/>
      <c r="AK19" s="114">
        <f t="shared" si="15"/>
        <v>462.5</v>
      </c>
      <c r="AL19" s="114"/>
      <c r="AM19" s="115"/>
      <c r="AN19" s="50">
        <f t="shared" si="21"/>
        <v>101.8</v>
      </c>
      <c r="AO19" s="242"/>
      <c r="AP19" s="50">
        <f t="shared" si="23"/>
        <v>24.5</v>
      </c>
      <c r="AQ19" s="50">
        <f t="shared" si="16"/>
        <v>126.3</v>
      </c>
    </row>
    <row r="20" spans="1:45" x14ac:dyDescent="0.25">
      <c r="A20" s="103">
        <v>12</v>
      </c>
      <c r="B20" s="236" t="s">
        <v>149</v>
      </c>
      <c r="C20" s="127">
        <v>1</v>
      </c>
      <c r="D20" s="237">
        <v>11.061999999999999</v>
      </c>
      <c r="E20" s="111">
        <f t="shared" si="0"/>
        <v>11.06</v>
      </c>
      <c r="F20" s="95">
        <f t="shared" si="1"/>
        <v>132.69999999999999</v>
      </c>
      <c r="G20" s="95"/>
      <c r="H20" s="95"/>
      <c r="I20" s="95"/>
      <c r="J20" s="95"/>
      <c r="K20" s="95"/>
      <c r="L20" s="95">
        <f>F20*$L$4</f>
        <v>20.5</v>
      </c>
      <c r="M20" s="95">
        <f>F20+G20+H20+I20+J20+K20+L20</f>
        <v>153.19999999999999</v>
      </c>
      <c r="N20" s="111">
        <v>0.43</v>
      </c>
      <c r="O20" s="95">
        <f>M20*N20</f>
        <v>65.900000000000006</v>
      </c>
      <c r="P20" s="95">
        <f>M20+O20</f>
        <v>219.1</v>
      </c>
      <c r="Q20" s="95">
        <f>P20*0.8</f>
        <v>175.3</v>
      </c>
      <c r="R20" s="95">
        <f>P20*0.8</f>
        <v>175.3</v>
      </c>
      <c r="S20" s="95">
        <f>(P20+Q20+R20)*0.032</f>
        <v>18.2</v>
      </c>
      <c r="T20" s="95">
        <f>P20+Q20+R20+S20</f>
        <v>587.9</v>
      </c>
      <c r="U20" s="1948"/>
      <c r="V20" s="95">
        <f>T20*$U$9</f>
        <v>587.9</v>
      </c>
      <c r="W20" s="95">
        <f t="shared" si="22"/>
        <v>177.5</v>
      </c>
      <c r="X20" s="103"/>
      <c r="Y20" s="112">
        <v>30</v>
      </c>
      <c r="Z20" s="113">
        <f>X20*Y20</f>
        <v>0</v>
      </c>
      <c r="AA20" s="127"/>
      <c r="AB20" s="112">
        <v>15</v>
      </c>
      <c r="AC20" s="113">
        <f>AA20*AB20</f>
        <v>0</v>
      </c>
      <c r="AD20" s="127"/>
      <c r="AE20" s="112">
        <v>30</v>
      </c>
      <c r="AF20" s="113">
        <f>AD20*AE20</f>
        <v>0</v>
      </c>
      <c r="AG20" s="113">
        <f>(Z20+AC20+AF20)*1%*30</f>
        <v>0</v>
      </c>
      <c r="AH20" s="113">
        <f>Z20+AC20+AF20+AG20</f>
        <v>0</v>
      </c>
      <c r="AI20" s="114"/>
      <c r="AK20" s="114">
        <f t="shared" si="15"/>
        <v>587.9</v>
      </c>
      <c r="AL20" s="114"/>
      <c r="AM20" s="115"/>
      <c r="AN20" s="50">
        <f t="shared" si="21"/>
        <v>129.30000000000001</v>
      </c>
      <c r="AO20" s="242"/>
      <c r="AP20" s="50">
        <f t="shared" si="23"/>
        <v>31.2</v>
      </c>
      <c r="AQ20" s="50">
        <f t="shared" si="16"/>
        <v>160.5</v>
      </c>
    </row>
    <row r="21" spans="1:45" x14ac:dyDescent="0.25">
      <c r="A21" s="103">
        <v>13</v>
      </c>
      <c r="B21" s="243" t="s">
        <v>42</v>
      </c>
      <c r="C21" s="127">
        <v>1</v>
      </c>
      <c r="D21" s="237">
        <v>11.061999999999999</v>
      </c>
      <c r="E21" s="111">
        <f t="shared" si="0"/>
        <v>11.06</v>
      </c>
      <c r="F21" s="95">
        <f t="shared" si="1"/>
        <v>132.69999999999999</v>
      </c>
      <c r="G21" s="95"/>
      <c r="H21" s="95">
        <f>7789.1/1000</f>
        <v>7.8</v>
      </c>
      <c r="I21" s="95"/>
      <c r="J21" s="95"/>
      <c r="K21" s="95">
        <f>F21*0.3+D21*0.05*2</f>
        <v>40.9</v>
      </c>
      <c r="L21" s="95">
        <f t="shared" si="18"/>
        <v>20.5</v>
      </c>
      <c r="M21" s="95">
        <f t="shared" si="2"/>
        <v>201.9</v>
      </c>
      <c r="N21" s="111">
        <v>0.43</v>
      </c>
      <c r="O21" s="95">
        <f t="shared" si="3"/>
        <v>86.8</v>
      </c>
      <c r="P21" s="95">
        <f t="shared" si="4"/>
        <v>288.7</v>
      </c>
      <c r="Q21" s="95">
        <f t="shared" si="5"/>
        <v>231</v>
      </c>
      <c r="R21" s="95">
        <f t="shared" si="6"/>
        <v>231</v>
      </c>
      <c r="S21" s="95">
        <f t="shared" si="7"/>
        <v>24</v>
      </c>
      <c r="T21" s="95">
        <f t="shared" si="8"/>
        <v>774.7</v>
      </c>
      <c r="U21" s="1948"/>
      <c r="V21" s="95">
        <f t="shared" si="20"/>
        <v>774.7</v>
      </c>
      <c r="W21" s="95">
        <f t="shared" si="22"/>
        <v>234</v>
      </c>
      <c r="X21" s="103"/>
      <c r="Y21" s="112">
        <v>30</v>
      </c>
      <c r="Z21" s="113">
        <f t="shared" si="9"/>
        <v>0</v>
      </c>
      <c r="AA21" s="127"/>
      <c r="AB21" s="112">
        <v>15</v>
      </c>
      <c r="AC21" s="113">
        <f t="shared" si="10"/>
        <v>0</v>
      </c>
      <c r="AD21" s="127"/>
      <c r="AE21" s="112">
        <v>30</v>
      </c>
      <c r="AF21" s="113">
        <f t="shared" si="11"/>
        <v>0</v>
      </c>
      <c r="AG21" s="113">
        <f t="shared" si="12"/>
        <v>0</v>
      </c>
      <c r="AH21" s="113">
        <f t="shared" si="13"/>
        <v>0</v>
      </c>
      <c r="AI21" s="114">
        <f>V21/12/C21*1000</f>
        <v>64558.3</v>
      </c>
      <c r="AK21" s="114">
        <f t="shared" si="15"/>
        <v>774.7</v>
      </c>
      <c r="AL21" s="114">
        <f t="shared" si="19"/>
        <v>258.5</v>
      </c>
      <c r="AM21" s="115">
        <v>0.30199999999999999</v>
      </c>
      <c r="AN21" s="50">
        <f t="shared" si="21"/>
        <v>170.4</v>
      </c>
      <c r="AO21" s="244"/>
      <c r="AP21" s="50">
        <f t="shared" si="23"/>
        <v>41.1</v>
      </c>
      <c r="AQ21" s="50">
        <f t="shared" si="16"/>
        <v>211.5</v>
      </c>
      <c r="AS21" s="99">
        <f>D21*1.5</f>
        <v>16.593</v>
      </c>
    </row>
    <row r="22" spans="1:45" x14ac:dyDescent="0.25">
      <c r="A22" s="103">
        <v>14</v>
      </c>
      <c r="B22" s="236" t="s">
        <v>33</v>
      </c>
      <c r="C22" s="127">
        <v>1</v>
      </c>
      <c r="D22" s="237">
        <v>8.4730000000000008</v>
      </c>
      <c r="E22" s="111">
        <f t="shared" si="0"/>
        <v>8.4700000000000006</v>
      </c>
      <c r="F22" s="95">
        <f t="shared" si="1"/>
        <v>101.6</v>
      </c>
      <c r="G22" s="95">
        <f>18010.1/1000</f>
        <v>18</v>
      </c>
      <c r="H22" s="95">
        <f>4474.6/1000</f>
        <v>4.5</v>
      </c>
      <c r="I22" s="95"/>
      <c r="J22" s="95"/>
      <c r="K22" s="95">
        <f>F22*0.25</f>
        <v>25.4</v>
      </c>
      <c r="L22" s="95">
        <f t="shared" si="18"/>
        <v>15.7</v>
      </c>
      <c r="M22" s="95">
        <f t="shared" si="2"/>
        <v>165.2</v>
      </c>
      <c r="N22" s="111">
        <v>0.41</v>
      </c>
      <c r="O22" s="95">
        <f t="shared" si="3"/>
        <v>67.7</v>
      </c>
      <c r="P22" s="95">
        <f t="shared" si="4"/>
        <v>232.9</v>
      </c>
      <c r="Q22" s="95">
        <f t="shared" si="5"/>
        <v>186.3</v>
      </c>
      <c r="R22" s="95">
        <f t="shared" si="6"/>
        <v>186.3</v>
      </c>
      <c r="S22" s="95">
        <f t="shared" si="7"/>
        <v>19.399999999999999</v>
      </c>
      <c r="T22" s="95">
        <f t="shared" si="8"/>
        <v>624.9</v>
      </c>
      <c r="U22" s="1948"/>
      <c r="V22" s="95">
        <f t="shared" si="20"/>
        <v>624.9</v>
      </c>
      <c r="W22" s="95">
        <f t="shared" si="22"/>
        <v>188.7</v>
      </c>
      <c r="X22" s="238"/>
      <c r="Y22" s="240">
        <v>30</v>
      </c>
      <c r="Z22" s="241">
        <f t="shared" si="9"/>
        <v>0</v>
      </c>
      <c r="AA22" s="238"/>
      <c r="AB22" s="240">
        <v>15</v>
      </c>
      <c r="AC22" s="241">
        <f t="shared" si="10"/>
        <v>0</v>
      </c>
      <c r="AD22" s="238"/>
      <c r="AE22" s="240">
        <v>30</v>
      </c>
      <c r="AF22" s="241">
        <f t="shared" si="11"/>
        <v>0</v>
      </c>
      <c r="AG22" s="241">
        <f t="shared" si="12"/>
        <v>0</v>
      </c>
      <c r="AH22" s="241">
        <f t="shared" si="13"/>
        <v>0</v>
      </c>
      <c r="AI22" s="114">
        <f>V22/12/C22*1000</f>
        <v>52075</v>
      </c>
      <c r="AK22" s="114">
        <f t="shared" si="15"/>
        <v>624.9</v>
      </c>
      <c r="AL22" s="114">
        <f t="shared" si="19"/>
        <v>231.2</v>
      </c>
      <c r="AM22" s="115">
        <v>0.30199999999999999</v>
      </c>
      <c r="AN22" s="50">
        <f t="shared" si="21"/>
        <v>137.5</v>
      </c>
      <c r="AO22" s="244"/>
      <c r="AP22" s="50">
        <f t="shared" si="23"/>
        <v>33.1</v>
      </c>
      <c r="AQ22" s="50">
        <f t="shared" si="16"/>
        <v>170.6</v>
      </c>
      <c r="AR22" s="245"/>
      <c r="AS22" s="99">
        <f>D22*1.5</f>
        <v>12.7095</v>
      </c>
    </row>
    <row r="23" spans="1:45" s="245" customFormat="1" x14ac:dyDescent="0.25">
      <c r="A23" s="103">
        <v>15</v>
      </c>
      <c r="B23" s="236" t="s">
        <v>58</v>
      </c>
      <c r="C23" s="246">
        <v>1</v>
      </c>
      <c r="D23" s="247">
        <v>11.061999999999999</v>
      </c>
      <c r="E23" s="111">
        <f t="shared" si="0"/>
        <v>11.06</v>
      </c>
      <c r="F23" s="95">
        <f t="shared" si="1"/>
        <v>132.69999999999999</v>
      </c>
      <c r="G23" s="248"/>
      <c r="H23" s="248"/>
      <c r="I23" s="248"/>
      <c r="J23" s="248"/>
      <c r="K23" s="248"/>
      <c r="L23" s="95">
        <f>F23*$L$4</f>
        <v>20.5</v>
      </c>
      <c r="M23" s="95">
        <f>F23+G23+H23+I23+J23+K23+L23</f>
        <v>153.19999999999999</v>
      </c>
      <c r="N23" s="111">
        <v>0.43</v>
      </c>
      <c r="O23" s="95">
        <f>M23*N23</f>
        <v>65.900000000000006</v>
      </c>
      <c r="P23" s="95">
        <f>M23+O23</f>
        <v>219.1</v>
      </c>
      <c r="Q23" s="95">
        <f>P23*0.8</f>
        <v>175.3</v>
      </c>
      <c r="R23" s="95">
        <f>P23*0.8</f>
        <v>175.3</v>
      </c>
      <c r="S23" s="95">
        <f>(P23+Q23+R23)*0.032</f>
        <v>18.2</v>
      </c>
      <c r="T23" s="95">
        <f>P23+Q23+R23+S23</f>
        <v>587.9</v>
      </c>
      <c r="U23" s="1948"/>
      <c r="V23" s="95">
        <f>T23*$U$9</f>
        <v>587.9</v>
      </c>
      <c r="W23" s="95">
        <f t="shared" si="22"/>
        <v>177.5</v>
      </c>
      <c r="X23" s="246"/>
      <c r="Y23" s="240">
        <v>30</v>
      </c>
      <c r="Z23" s="241">
        <f>X23*Y23</f>
        <v>0</v>
      </c>
      <c r="AA23" s="246"/>
      <c r="AB23" s="240">
        <v>15</v>
      </c>
      <c r="AC23" s="241">
        <f>AA23*AB23</f>
        <v>0</v>
      </c>
      <c r="AD23" s="246"/>
      <c r="AE23" s="240">
        <v>30</v>
      </c>
      <c r="AF23" s="241">
        <f>AD23*AE23</f>
        <v>0</v>
      </c>
      <c r="AG23" s="241">
        <f>(Z23+AC23+AF23)*1%*30</f>
        <v>0</v>
      </c>
      <c r="AH23" s="241">
        <f>Z23+AC23+AF23+AG23</f>
        <v>0</v>
      </c>
      <c r="AI23" s="114"/>
      <c r="AK23" s="114">
        <f t="shared" si="15"/>
        <v>587.9</v>
      </c>
      <c r="AL23" s="114"/>
      <c r="AM23" s="115"/>
      <c r="AN23" s="50">
        <f t="shared" si="21"/>
        <v>129.30000000000001</v>
      </c>
      <c r="AO23" s="211"/>
      <c r="AP23" s="50">
        <f t="shared" si="23"/>
        <v>31.2</v>
      </c>
      <c r="AQ23" s="50">
        <f t="shared" si="16"/>
        <v>160.5</v>
      </c>
      <c r="AR23" s="99"/>
      <c r="AS23" s="99"/>
    </row>
    <row r="24" spans="1:45" s="252" customFormat="1" x14ac:dyDescent="0.25">
      <c r="A24" s="103">
        <v>16</v>
      </c>
      <c r="B24" s="236" t="s">
        <v>102</v>
      </c>
      <c r="C24" s="238">
        <v>1</v>
      </c>
      <c r="D24" s="237">
        <v>4.3769999999999998</v>
      </c>
      <c r="E24" s="249">
        <f t="shared" si="0"/>
        <v>4.38</v>
      </c>
      <c r="F24" s="170">
        <f t="shared" si="1"/>
        <v>52.6</v>
      </c>
      <c r="G24" s="248"/>
      <c r="H24" s="248"/>
      <c r="I24" s="248"/>
      <c r="J24" s="248"/>
      <c r="K24" s="248"/>
      <c r="L24" s="95">
        <v>35.200000000000003</v>
      </c>
      <c r="M24" s="248">
        <f t="shared" si="2"/>
        <v>87.8</v>
      </c>
      <c r="N24" s="111">
        <v>0.49</v>
      </c>
      <c r="O24" s="248">
        <f t="shared" si="3"/>
        <v>43</v>
      </c>
      <c r="P24" s="248">
        <f t="shared" si="4"/>
        <v>130.80000000000001</v>
      </c>
      <c r="Q24" s="248">
        <f t="shared" si="5"/>
        <v>104.6</v>
      </c>
      <c r="R24" s="95">
        <f t="shared" si="6"/>
        <v>104.6</v>
      </c>
      <c r="S24" s="248">
        <f t="shared" si="7"/>
        <v>10.9</v>
      </c>
      <c r="T24" s="248">
        <f t="shared" si="8"/>
        <v>350.9</v>
      </c>
      <c r="U24" s="1949"/>
      <c r="V24" s="250">
        <f>T24*$U$9-0.3</f>
        <v>350.6</v>
      </c>
      <c r="W24" s="95">
        <f t="shared" si="22"/>
        <v>105.9</v>
      </c>
      <c r="X24" s="251">
        <v>1</v>
      </c>
      <c r="Y24" s="112">
        <v>30</v>
      </c>
      <c r="Z24" s="113">
        <f t="shared" si="9"/>
        <v>30</v>
      </c>
      <c r="AA24" s="251"/>
      <c r="AB24" s="112">
        <v>15</v>
      </c>
      <c r="AC24" s="113">
        <f t="shared" si="10"/>
        <v>0</v>
      </c>
      <c r="AD24" s="251"/>
      <c r="AE24" s="112">
        <v>30</v>
      </c>
      <c r="AF24" s="113">
        <f t="shared" si="11"/>
        <v>0</v>
      </c>
      <c r="AG24" s="113">
        <f t="shared" si="12"/>
        <v>9</v>
      </c>
      <c r="AH24" s="113">
        <f t="shared" si="13"/>
        <v>39</v>
      </c>
      <c r="AI24" s="114">
        <f>V24/12/C24*1000</f>
        <v>29216.7</v>
      </c>
      <c r="AK24" s="114">
        <f t="shared" si="15"/>
        <v>350.6</v>
      </c>
      <c r="AL24" s="114">
        <f t="shared" si="19"/>
        <v>181.3</v>
      </c>
      <c r="AM24" s="115">
        <v>0.30199999999999999</v>
      </c>
      <c r="AN24" s="50">
        <f t="shared" si="21"/>
        <v>77.099999999999994</v>
      </c>
      <c r="AO24" s="211"/>
      <c r="AP24" s="50">
        <f t="shared" si="23"/>
        <v>18.600000000000001</v>
      </c>
      <c r="AQ24" s="50">
        <f t="shared" si="16"/>
        <v>95.7</v>
      </c>
      <c r="AR24" s="99"/>
      <c r="AS24" s="99">
        <f>D24*1.5</f>
        <v>6.5655000000000001</v>
      </c>
    </row>
    <row r="25" spans="1:45" s="98" customFormat="1" ht="20.25" customHeight="1" x14ac:dyDescent="0.25">
      <c r="A25" s="1946" t="s">
        <v>8</v>
      </c>
      <c r="B25" s="1946"/>
      <c r="C25" s="253">
        <f t="shared" ref="C25:M25" si="24">SUM(C9:C24)</f>
        <v>19</v>
      </c>
      <c r="D25" s="254">
        <f t="shared" si="24"/>
        <v>171.5</v>
      </c>
      <c r="E25" s="254">
        <f t="shared" si="24"/>
        <v>204.7</v>
      </c>
      <c r="F25" s="254">
        <f t="shared" si="24"/>
        <v>2455.8000000000002</v>
      </c>
      <c r="G25" s="254">
        <f t="shared" si="24"/>
        <v>18</v>
      </c>
      <c r="H25" s="254">
        <f t="shared" si="24"/>
        <v>76.7</v>
      </c>
      <c r="I25" s="254">
        <f t="shared" si="24"/>
        <v>0</v>
      </c>
      <c r="J25" s="254">
        <f t="shared" si="24"/>
        <v>2.5</v>
      </c>
      <c r="K25" s="254">
        <f t="shared" si="24"/>
        <v>868.2</v>
      </c>
      <c r="L25" s="254">
        <f t="shared" si="24"/>
        <v>406.5</v>
      </c>
      <c r="M25" s="254">
        <f t="shared" si="24"/>
        <v>3827.7</v>
      </c>
      <c r="N25" s="254"/>
      <c r="O25" s="254">
        <f t="shared" ref="O25:AH25" si="25">SUM(O9:O24)</f>
        <v>1659.4</v>
      </c>
      <c r="P25" s="254">
        <f t="shared" si="25"/>
        <v>5487.1</v>
      </c>
      <c r="Q25" s="254">
        <f t="shared" si="25"/>
        <v>4389.7</v>
      </c>
      <c r="R25" s="254">
        <f t="shared" si="25"/>
        <v>4389.7</v>
      </c>
      <c r="S25" s="254">
        <f t="shared" si="25"/>
        <v>456.3</v>
      </c>
      <c r="T25" s="254">
        <f t="shared" si="25"/>
        <v>14722.8</v>
      </c>
      <c r="U25" s="254">
        <f t="shared" si="25"/>
        <v>1</v>
      </c>
      <c r="V25" s="254">
        <f t="shared" si="25"/>
        <v>14722.5</v>
      </c>
      <c r="W25" s="254">
        <f t="shared" si="25"/>
        <v>4305.6000000000004</v>
      </c>
      <c r="X25" s="254">
        <f t="shared" si="25"/>
        <v>7</v>
      </c>
      <c r="Y25" s="254">
        <f t="shared" si="25"/>
        <v>480</v>
      </c>
      <c r="Z25" s="254">
        <f t="shared" si="25"/>
        <v>210</v>
      </c>
      <c r="AA25" s="254">
        <f t="shared" si="25"/>
        <v>1</v>
      </c>
      <c r="AB25" s="254">
        <f t="shared" si="25"/>
        <v>240</v>
      </c>
      <c r="AC25" s="254">
        <f t="shared" si="25"/>
        <v>15</v>
      </c>
      <c r="AD25" s="254">
        <f t="shared" si="25"/>
        <v>2</v>
      </c>
      <c r="AE25" s="254">
        <f t="shared" si="25"/>
        <v>480</v>
      </c>
      <c r="AF25" s="254">
        <f t="shared" si="25"/>
        <v>60</v>
      </c>
      <c r="AG25" s="254">
        <f t="shared" si="25"/>
        <v>85.5</v>
      </c>
      <c r="AH25" s="254">
        <f t="shared" si="25"/>
        <v>370.5</v>
      </c>
      <c r="AI25" s="114"/>
      <c r="AN25" s="211"/>
      <c r="AO25" s="211"/>
      <c r="AP25" s="211"/>
      <c r="AQ25" s="211"/>
      <c r="AR25" s="99"/>
      <c r="AS25" s="99"/>
    </row>
    <row r="26" spans="1:45" x14ac:dyDescent="0.25">
      <c r="G26" s="131"/>
      <c r="H26" s="131"/>
      <c r="I26" s="131"/>
      <c r="J26" s="131"/>
      <c r="K26" s="131"/>
      <c r="L26" s="131"/>
      <c r="M26" s="131"/>
      <c r="N26" s="131"/>
      <c r="O26" s="131"/>
      <c r="P26" s="131"/>
      <c r="Q26" s="131"/>
      <c r="R26" s="131"/>
      <c r="S26" s="131"/>
      <c r="T26" s="131"/>
      <c r="V26" s="114"/>
      <c r="W26" s="66"/>
      <c r="X26" s="131"/>
      <c r="AA26" s="131"/>
      <c r="AD26" s="131"/>
      <c r="AG26" s="131"/>
      <c r="AH26" s="131"/>
      <c r="AO26" s="50"/>
      <c r="AP26" s="50"/>
      <c r="AQ26" s="50"/>
    </row>
    <row r="27" spans="1:45" x14ac:dyDescent="0.25">
      <c r="B27" s="255"/>
      <c r="C27" s="256"/>
      <c r="D27" s="256"/>
      <c r="E27" s="257"/>
      <c r="F27" s="257"/>
      <c r="G27" s="257"/>
      <c r="H27" s="257"/>
      <c r="I27" s="133"/>
      <c r="J27" s="131"/>
      <c r="K27" s="131"/>
      <c r="L27" s="131"/>
      <c r="M27" s="131"/>
      <c r="N27" s="131"/>
      <c r="O27" s="131"/>
      <c r="P27" s="131"/>
      <c r="Q27" s="131"/>
      <c r="R27" s="131"/>
      <c r="S27" s="131"/>
      <c r="T27" s="131"/>
      <c r="V27" s="114"/>
      <c r="W27" s="114"/>
      <c r="X27" s="131"/>
      <c r="AA27" s="131"/>
      <c r="AD27" s="131"/>
      <c r="AE27" s="131"/>
    </row>
    <row r="28" spans="1:45" s="75" customFormat="1" x14ac:dyDescent="0.25">
      <c r="A28" s="70"/>
      <c r="B28" s="70"/>
      <c r="C28" s="71"/>
      <c r="D28" s="72"/>
      <c r="E28" s="72"/>
      <c r="F28" s="72"/>
      <c r="G28" s="72"/>
      <c r="H28" s="73"/>
      <c r="I28" s="73"/>
      <c r="J28" s="27"/>
      <c r="K28" s="27"/>
      <c r="L28" s="27"/>
      <c r="M28" s="27"/>
      <c r="N28" s="74"/>
      <c r="O28" s="27"/>
      <c r="P28" s="27"/>
      <c r="Q28" s="27"/>
      <c r="R28" s="27"/>
      <c r="S28" s="27"/>
      <c r="T28" s="27"/>
      <c r="U28" s="27"/>
      <c r="V28" s="27"/>
      <c r="W28" s="27"/>
      <c r="X28" s="27"/>
      <c r="Y28" s="27"/>
      <c r="Z28" s="27"/>
      <c r="AA28" s="27"/>
      <c r="AB28" s="27"/>
      <c r="AC28" s="27"/>
      <c r="AD28" s="27"/>
      <c r="AE28" s="27"/>
      <c r="AF28" s="27"/>
      <c r="AG28" s="27"/>
      <c r="AH28" s="27"/>
      <c r="AI28" s="27"/>
      <c r="AJ28" s="76"/>
      <c r="AN28" s="76"/>
      <c r="AO28" s="76"/>
      <c r="AP28" s="76"/>
      <c r="AQ28" s="76"/>
      <c r="AR28" s="76"/>
    </row>
    <row r="29" spans="1:45" s="75" customFormat="1" ht="59.25" customHeight="1" x14ac:dyDescent="0.25">
      <c r="A29" s="70"/>
      <c r="B29" s="70"/>
      <c r="C29" s="71"/>
      <c r="D29" s="77"/>
      <c r="E29" s="77"/>
      <c r="F29" s="27"/>
      <c r="G29" s="1545" t="s">
        <v>140</v>
      </c>
      <c r="H29" s="1545"/>
      <c r="I29" s="1545" t="s">
        <v>145</v>
      </c>
      <c r="J29" s="1545"/>
      <c r="K29" s="1545" t="s">
        <v>128</v>
      </c>
      <c r="L29" s="1545"/>
      <c r="Q29" s="27"/>
      <c r="R29" s="27"/>
      <c r="S29" s="27"/>
      <c r="T29" s="27"/>
      <c r="U29" s="27"/>
      <c r="V29" s="27"/>
      <c r="W29" s="27"/>
      <c r="X29" s="27"/>
      <c r="Y29" s="27"/>
      <c r="Z29" s="27"/>
      <c r="AA29" s="27"/>
      <c r="AB29" s="27"/>
      <c r="AC29" s="27"/>
      <c r="AD29" s="27"/>
      <c r="AE29" s="27"/>
      <c r="AF29" s="27"/>
      <c r="AG29" s="27"/>
      <c r="AH29" s="27"/>
      <c r="AI29" s="27"/>
      <c r="AJ29" s="76"/>
      <c r="AN29" s="76"/>
      <c r="AO29" s="76"/>
      <c r="AP29" s="76"/>
      <c r="AQ29" s="76"/>
      <c r="AR29" s="76"/>
    </row>
    <row r="30" spans="1:45" s="75" customFormat="1" x14ac:dyDescent="0.25">
      <c r="A30" s="70"/>
      <c r="B30" s="70"/>
      <c r="C30" s="71"/>
      <c r="D30" s="77"/>
      <c r="E30" s="77"/>
      <c r="F30" s="27"/>
      <c r="G30" s="78">
        <v>991</v>
      </c>
      <c r="H30" s="78">
        <v>992</v>
      </c>
      <c r="I30" s="78">
        <v>991</v>
      </c>
      <c r="J30" s="78">
        <v>992</v>
      </c>
      <c r="K30" s="78">
        <v>991</v>
      </c>
      <c r="L30" s="78">
        <v>992</v>
      </c>
      <c r="Q30" s="27"/>
      <c r="R30" s="27"/>
      <c r="S30" s="27"/>
      <c r="T30" s="27"/>
      <c r="U30" s="27"/>
      <c r="V30" s="27"/>
      <c r="W30" s="27"/>
      <c r="X30" s="27"/>
      <c r="Y30" s="27"/>
      <c r="Z30" s="27"/>
      <c r="AA30" s="27"/>
      <c r="AB30" s="27"/>
      <c r="AC30" s="27"/>
      <c r="AD30" s="27"/>
      <c r="AE30" s="27"/>
      <c r="AF30" s="27"/>
      <c r="AG30" s="27"/>
      <c r="AH30" s="27"/>
      <c r="AI30" s="27"/>
      <c r="AJ30" s="76"/>
      <c r="AN30" s="76"/>
      <c r="AO30" s="76"/>
      <c r="AP30" s="76"/>
      <c r="AQ30" s="76"/>
      <c r="AR30" s="76"/>
    </row>
    <row r="31" spans="1:45" s="75" customFormat="1" x14ac:dyDescent="0.25">
      <c r="A31" s="70"/>
      <c r="B31" s="70"/>
      <c r="C31" s="71"/>
      <c r="D31" s="77"/>
      <c r="E31" s="77"/>
      <c r="F31" s="27"/>
      <c r="G31" s="29">
        <v>14722.5</v>
      </c>
      <c r="H31" s="29">
        <v>4245.1000000000004</v>
      </c>
      <c r="I31" s="29">
        <f>V25</f>
        <v>14722.5</v>
      </c>
      <c r="J31" s="29">
        <f>W25</f>
        <v>4305.6000000000004</v>
      </c>
      <c r="K31" s="29">
        <f>G31-I31</f>
        <v>0</v>
      </c>
      <c r="L31" s="29">
        <f>H31-J31</f>
        <v>-60.5</v>
      </c>
      <c r="Q31" s="27"/>
      <c r="R31" s="27"/>
      <c r="S31" s="27"/>
      <c r="T31" s="27"/>
      <c r="U31" s="27"/>
      <c r="V31" s="27"/>
      <c r="W31" s="27"/>
      <c r="X31" s="27"/>
      <c r="Y31" s="27"/>
      <c r="Z31" s="27"/>
      <c r="AA31" s="27"/>
      <c r="AB31" s="27"/>
      <c r="AC31" s="27"/>
      <c r="AD31" s="27"/>
      <c r="AE31" s="27"/>
      <c r="AF31" s="27"/>
      <c r="AG31" s="27"/>
      <c r="AH31" s="27"/>
      <c r="AI31" s="27"/>
      <c r="AJ31" s="76"/>
      <c r="AN31" s="76"/>
      <c r="AO31" s="76"/>
      <c r="AP31" s="76"/>
      <c r="AQ31" s="76"/>
      <c r="AR31" s="76"/>
    </row>
    <row r="32" spans="1:45" s="75" customFormat="1" x14ac:dyDescent="0.25">
      <c r="A32" s="70"/>
      <c r="B32" s="70"/>
      <c r="C32" s="71"/>
      <c r="D32" s="77"/>
      <c r="E32" s="77"/>
      <c r="F32" s="27"/>
      <c r="G32" s="27"/>
      <c r="H32" s="80"/>
      <c r="I32" s="27"/>
      <c r="J32" s="80"/>
      <c r="K32" s="27"/>
      <c r="L32" s="27"/>
      <c r="M32" s="27"/>
      <c r="N32" s="74"/>
      <c r="O32" s="27"/>
      <c r="P32" s="27"/>
      <c r="Q32" s="27"/>
      <c r="R32" s="27"/>
      <c r="S32" s="27"/>
      <c r="T32" s="27"/>
      <c r="U32" s="27"/>
      <c r="V32" s="27"/>
      <c r="W32" s="27"/>
      <c r="X32" s="27"/>
      <c r="Y32" s="27"/>
      <c r="Z32" s="27"/>
      <c r="AA32" s="27"/>
      <c r="AB32" s="27"/>
      <c r="AC32" s="27"/>
      <c r="AD32" s="27"/>
      <c r="AE32" s="27"/>
      <c r="AF32" s="27"/>
      <c r="AG32" s="27"/>
      <c r="AH32" s="27"/>
      <c r="AI32" s="27"/>
      <c r="AJ32" s="76"/>
      <c r="AN32" s="76"/>
      <c r="AO32" s="76"/>
      <c r="AP32" s="76"/>
      <c r="AQ32" s="76"/>
      <c r="AR32" s="76"/>
    </row>
    <row r="33" spans="1:44" s="75" customFormat="1" x14ac:dyDescent="0.25">
      <c r="A33" s="70"/>
      <c r="B33" s="70"/>
      <c r="C33" s="71"/>
      <c r="D33" s="77"/>
      <c r="E33" s="77"/>
      <c r="F33" s="27"/>
      <c r="G33" s="27"/>
      <c r="H33" s="80"/>
      <c r="I33" s="27"/>
      <c r="J33" s="80"/>
      <c r="K33" s="27"/>
      <c r="L33" s="27"/>
      <c r="M33" s="27"/>
      <c r="N33" s="74"/>
      <c r="O33" s="27"/>
      <c r="P33" s="27"/>
      <c r="Q33" s="27"/>
      <c r="R33" s="27"/>
      <c r="S33" s="27"/>
      <c r="T33" s="27"/>
      <c r="U33" s="27"/>
      <c r="V33" s="27"/>
      <c r="W33" s="27"/>
      <c r="X33" s="27"/>
      <c r="Y33" s="27"/>
      <c r="Z33" s="27"/>
      <c r="AA33" s="27"/>
      <c r="AB33" s="27"/>
      <c r="AC33" s="27"/>
      <c r="AD33" s="27"/>
      <c r="AE33" s="27"/>
      <c r="AF33" s="27"/>
      <c r="AG33" s="27"/>
      <c r="AH33" s="27"/>
      <c r="AI33" s="27"/>
      <c r="AJ33" s="76"/>
      <c r="AN33" s="76"/>
      <c r="AO33" s="76"/>
      <c r="AP33" s="76"/>
      <c r="AQ33" s="76"/>
      <c r="AR33" s="76"/>
    </row>
    <row r="34" spans="1:44" s="75" customFormat="1" x14ac:dyDescent="0.25">
      <c r="A34" s="70"/>
      <c r="B34" s="70"/>
      <c r="C34" s="71"/>
      <c r="D34" s="77"/>
      <c r="E34" s="77"/>
      <c r="F34" s="27"/>
      <c r="G34" s="27"/>
      <c r="H34" s="80"/>
      <c r="I34" s="27"/>
      <c r="J34" s="80"/>
      <c r="K34" s="27"/>
      <c r="L34" s="27"/>
      <c r="M34" s="27"/>
      <c r="N34" s="74"/>
      <c r="O34" s="27"/>
      <c r="P34" s="27"/>
      <c r="Q34" s="27"/>
      <c r="R34" s="27"/>
      <c r="S34" s="27"/>
      <c r="T34" s="27"/>
      <c r="U34" s="27"/>
      <c r="V34" s="27"/>
      <c r="W34" s="27"/>
      <c r="X34" s="27"/>
      <c r="Y34" s="27"/>
      <c r="Z34" s="27"/>
      <c r="AA34" s="27"/>
      <c r="AB34" s="27"/>
      <c r="AC34" s="27"/>
      <c r="AD34" s="27"/>
      <c r="AE34" s="27"/>
      <c r="AF34" s="27"/>
      <c r="AG34" s="27"/>
      <c r="AH34" s="27"/>
      <c r="AI34" s="27"/>
      <c r="AJ34" s="76"/>
      <c r="AN34" s="76"/>
      <c r="AO34" s="76"/>
      <c r="AP34" s="76"/>
      <c r="AQ34" s="76"/>
      <c r="AR34" s="76"/>
    </row>
    <row r="35" spans="1:44" s="75" customFormat="1" x14ac:dyDescent="0.25">
      <c r="A35" s="70"/>
      <c r="B35" s="70"/>
      <c r="C35" s="71"/>
      <c r="D35" s="77"/>
      <c r="E35" s="77"/>
      <c r="F35" s="27"/>
      <c r="G35" s="27"/>
      <c r="H35" s="80"/>
      <c r="I35" s="27"/>
      <c r="J35" s="80"/>
      <c r="K35" s="27"/>
      <c r="L35" s="27"/>
      <c r="M35" s="27"/>
      <c r="N35" s="74"/>
      <c r="O35" s="27"/>
      <c r="P35" s="27"/>
      <c r="Q35" s="27"/>
      <c r="R35" s="27"/>
      <c r="S35" s="27"/>
      <c r="T35" s="27"/>
      <c r="U35" s="27"/>
      <c r="V35" s="27"/>
      <c r="W35" s="27"/>
      <c r="X35" s="27"/>
      <c r="Y35" s="27"/>
      <c r="Z35" s="27"/>
      <c r="AA35" s="27"/>
      <c r="AB35" s="27"/>
      <c r="AC35" s="27"/>
      <c r="AD35" s="27"/>
      <c r="AE35" s="27"/>
      <c r="AF35" s="27"/>
      <c r="AG35" s="27"/>
      <c r="AH35" s="27"/>
      <c r="AI35" s="27"/>
      <c r="AJ35" s="76"/>
      <c r="AN35" s="76"/>
      <c r="AO35" s="76"/>
      <c r="AP35" s="76"/>
      <c r="AQ35" s="76"/>
      <c r="AR35" s="76"/>
    </row>
    <row r="36" spans="1:44" s="35" customFormat="1" ht="21" x14ac:dyDescent="0.25">
      <c r="A36" s="81"/>
      <c r="B36" s="82" t="s">
        <v>138</v>
      </c>
      <c r="C36" s="83"/>
      <c r="D36" s="84"/>
      <c r="E36" s="84"/>
      <c r="F36" s="85"/>
      <c r="G36" s="85"/>
      <c r="H36" s="86"/>
      <c r="I36" s="86"/>
      <c r="J36" s="85"/>
      <c r="K36" s="30" t="s">
        <v>166</v>
      </c>
      <c r="L36" s="85"/>
      <c r="M36" s="85"/>
      <c r="N36" s="87"/>
      <c r="O36" s="85"/>
      <c r="P36" s="85"/>
      <c r="Q36" s="85"/>
      <c r="R36" s="85"/>
      <c r="S36" s="85"/>
      <c r="T36" s="85"/>
      <c r="U36" s="85"/>
      <c r="V36" s="85"/>
      <c r="W36" s="85"/>
      <c r="X36" s="85"/>
      <c r="Y36" s="85"/>
      <c r="Z36" s="85"/>
      <c r="AA36" s="85"/>
      <c r="AB36" s="85"/>
      <c r="AC36" s="85"/>
      <c r="AD36" s="85"/>
      <c r="AE36" s="85"/>
      <c r="AF36" s="85"/>
      <c r="AG36" s="85"/>
      <c r="AH36" s="85"/>
      <c r="AI36" s="85"/>
      <c r="AK36" s="88"/>
      <c r="AL36" s="88"/>
      <c r="AM36" s="88"/>
      <c r="AN36" s="88"/>
      <c r="AO36" s="88"/>
    </row>
    <row r="37" spans="1:44" s="143" customFormat="1" x14ac:dyDescent="0.25">
      <c r="A37" s="136"/>
      <c r="B37" s="136"/>
      <c r="C37" s="137"/>
      <c r="D37" s="144"/>
      <c r="E37" s="144"/>
      <c r="F37" s="140"/>
      <c r="G37" s="140"/>
      <c r="H37" s="139"/>
      <c r="I37" s="139"/>
      <c r="J37" s="140"/>
      <c r="K37" s="140"/>
      <c r="L37" s="140"/>
      <c r="M37" s="140"/>
      <c r="N37" s="141"/>
      <c r="O37" s="140"/>
      <c r="P37" s="140"/>
      <c r="Q37" s="140"/>
      <c r="R37" s="140"/>
      <c r="S37" s="140"/>
      <c r="T37" s="140"/>
      <c r="U37" s="140"/>
      <c r="V37" s="140"/>
      <c r="W37" s="140"/>
      <c r="X37" s="140"/>
      <c r="Y37" s="140"/>
      <c r="Z37" s="140"/>
      <c r="AA37" s="140"/>
      <c r="AB37" s="140"/>
      <c r="AC37" s="140"/>
      <c r="AD37" s="140"/>
      <c r="AE37" s="140"/>
      <c r="AF37" s="142"/>
      <c r="AK37" s="142"/>
      <c r="AL37" s="142"/>
      <c r="AM37" s="142"/>
      <c r="AN37" s="76"/>
      <c r="AO37" s="76"/>
      <c r="AP37" s="76"/>
      <c r="AQ37" s="76"/>
      <c r="AR37" s="99"/>
    </row>
    <row r="38" spans="1:44" s="143" customFormat="1" x14ac:dyDescent="0.25">
      <c r="A38" s="136"/>
      <c r="B38" s="136"/>
      <c r="C38" s="137"/>
      <c r="D38" s="144"/>
      <c r="E38" s="144"/>
      <c r="F38" s="140"/>
      <c r="G38" s="140"/>
      <c r="H38" s="139"/>
      <c r="I38" s="139"/>
      <c r="J38" s="140"/>
      <c r="K38" s="140"/>
      <c r="L38" s="140"/>
      <c r="M38" s="140"/>
      <c r="N38" s="202"/>
      <c r="O38" s="203"/>
      <c r="P38" s="140"/>
      <c r="Q38" s="140"/>
      <c r="R38" s="140"/>
      <c r="S38" s="140"/>
      <c r="T38" s="140"/>
      <c r="U38" s="140"/>
      <c r="V38" s="140"/>
      <c r="W38" s="140"/>
      <c r="X38" s="140"/>
      <c r="Y38" s="140"/>
      <c r="Z38" s="140"/>
      <c r="AA38" s="140"/>
      <c r="AB38" s="140"/>
      <c r="AC38" s="140"/>
      <c r="AD38" s="140"/>
      <c r="AE38" s="140"/>
      <c r="AF38" s="142"/>
      <c r="AK38" s="142"/>
      <c r="AL38" s="142"/>
      <c r="AM38" s="142"/>
      <c r="AN38" s="76"/>
      <c r="AO38" s="76"/>
      <c r="AP38" s="76"/>
      <c r="AQ38" s="76"/>
      <c r="AR38" s="252"/>
    </row>
    <row r="39" spans="1:44" s="143" customFormat="1" ht="20.25" customHeight="1" x14ac:dyDescent="0.25">
      <c r="A39" s="145" t="s">
        <v>96</v>
      </c>
      <c r="B39" s="145"/>
      <c r="C39" s="146"/>
      <c r="D39" s="146"/>
      <c r="E39" s="146"/>
      <c r="F39" s="146"/>
      <c r="G39" s="146"/>
      <c r="H39" s="146"/>
      <c r="I39" s="146"/>
      <c r="J39" s="146"/>
      <c r="K39" s="146"/>
      <c r="L39" s="147"/>
      <c r="M39" s="147"/>
      <c r="N39" s="202"/>
      <c r="O39" s="203"/>
      <c r="P39" s="147"/>
      <c r="Q39" s="147"/>
      <c r="R39" s="147"/>
      <c r="S39" s="147"/>
      <c r="T39" s="147"/>
      <c r="U39" s="147"/>
      <c r="V39" s="147"/>
      <c r="W39" s="147"/>
      <c r="X39" s="147"/>
      <c r="Y39" s="147"/>
      <c r="Z39" s="147"/>
      <c r="AA39" s="147"/>
      <c r="AB39" s="147"/>
      <c r="AC39" s="147"/>
      <c r="AD39" s="147"/>
      <c r="AE39" s="147"/>
      <c r="AF39" s="142"/>
      <c r="AK39" s="142"/>
      <c r="AL39" s="142"/>
      <c r="AM39" s="142"/>
      <c r="AN39" s="76"/>
      <c r="AO39" s="76"/>
      <c r="AP39" s="76"/>
      <c r="AQ39" s="76"/>
      <c r="AR39" s="99"/>
    </row>
    <row r="40" spans="1:44" s="143" customFormat="1" ht="20.25" customHeight="1" x14ac:dyDescent="0.25">
      <c r="A40" s="145" t="s">
        <v>139</v>
      </c>
      <c r="B40" s="149"/>
      <c r="C40" s="150"/>
      <c r="D40" s="150"/>
      <c r="E40" s="151"/>
      <c r="F40" s="151"/>
      <c r="G40" s="151"/>
      <c r="H40" s="151"/>
      <c r="I40" s="151"/>
      <c r="J40" s="151"/>
      <c r="K40" s="151"/>
      <c r="L40" s="147"/>
      <c r="M40" s="147"/>
      <c r="N40" s="202"/>
      <c r="O40" s="203"/>
      <c r="P40" s="147"/>
      <c r="Q40" s="147"/>
      <c r="R40" s="147"/>
      <c r="S40" s="147"/>
      <c r="T40" s="147"/>
      <c r="U40" s="147"/>
      <c r="V40" s="147"/>
      <c r="W40" s="147"/>
      <c r="X40" s="147"/>
      <c r="Y40" s="147"/>
      <c r="Z40" s="147"/>
      <c r="AA40" s="147"/>
      <c r="AB40" s="147"/>
      <c r="AC40" s="147"/>
      <c r="AD40" s="147"/>
      <c r="AE40" s="147"/>
      <c r="AF40" s="142"/>
      <c r="AK40" s="142"/>
      <c r="AL40" s="142"/>
      <c r="AM40" s="142"/>
      <c r="AN40" s="76"/>
      <c r="AO40" s="76"/>
      <c r="AP40" s="76"/>
      <c r="AQ40" s="76"/>
      <c r="AR40" s="252"/>
    </row>
    <row r="41" spans="1:44" x14ac:dyDescent="0.25">
      <c r="A41" s="99"/>
      <c r="I41" s="153"/>
      <c r="J41" s="153"/>
      <c r="W41" s="131"/>
      <c r="X41" s="131"/>
      <c r="AA41" s="131"/>
      <c r="AD41" s="131"/>
      <c r="AE41" s="131"/>
      <c r="AN41" s="76"/>
      <c r="AO41" s="76"/>
      <c r="AP41" s="76"/>
      <c r="AQ41" s="76"/>
      <c r="AR41" s="98"/>
    </row>
    <row r="42" spans="1:44" ht="16.8" x14ac:dyDescent="0.25">
      <c r="A42" s="258"/>
      <c r="W42" s="131"/>
      <c r="X42" s="131"/>
      <c r="AA42" s="131"/>
      <c r="AD42" s="131"/>
      <c r="AE42" s="131"/>
    </row>
    <row r="43" spans="1:44" x14ac:dyDescent="0.25">
      <c r="AG43" s="114"/>
    </row>
    <row r="45" spans="1:44" x14ac:dyDescent="0.25">
      <c r="E45" s="115"/>
    </row>
    <row r="46" spans="1:44" x14ac:dyDescent="0.25">
      <c r="E46" s="115"/>
    </row>
    <row r="47" spans="1:44" x14ac:dyDescent="0.25">
      <c r="E47" s="115"/>
      <c r="K47" s="153"/>
    </row>
    <row r="48" spans="1:44" x14ac:dyDescent="0.25">
      <c r="A48" s="99"/>
      <c r="E48" s="115"/>
    </row>
    <row r="49" spans="1:45" x14ac:dyDescent="0.25">
      <c r="A49" s="99"/>
      <c r="E49" s="115"/>
    </row>
    <row r="50" spans="1:45" x14ac:dyDescent="0.25">
      <c r="A50" s="99"/>
      <c r="E50" s="115"/>
    </row>
    <row r="51" spans="1:45" x14ac:dyDescent="0.25">
      <c r="A51" s="99"/>
      <c r="E51" s="115"/>
    </row>
    <row r="52" spans="1:45" x14ac:dyDescent="0.25">
      <c r="A52" s="99"/>
      <c r="E52" s="115"/>
    </row>
    <row r="53" spans="1:45" x14ac:dyDescent="0.25">
      <c r="A53" s="99"/>
      <c r="E53" s="115"/>
    </row>
    <row r="54" spans="1:45" x14ac:dyDescent="0.25">
      <c r="A54" s="99"/>
      <c r="E54" s="115"/>
    </row>
    <row r="55" spans="1:45" x14ac:dyDescent="0.25">
      <c r="A55" s="99"/>
      <c r="E55" s="115"/>
    </row>
    <row r="56" spans="1:45" x14ac:dyDescent="0.25">
      <c r="A56" s="99"/>
      <c r="E56" s="115"/>
    </row>
    <row r="57" spans="1:45" x14ac:dyDescent="0.25">
      <c r="A57" s="99"/>
      <c r="E57" s="115"/>
    </row>
    <row r="58" spans="1:45" x14ac:dyDescent="0.25">
      <c r="A58" s="99"/>
      <c r="E58" s="115"/>
    </row>
    <row r="59" spans="1:45" x14ac:dyDescent="0.25">
      <c r="A59" s="99"/>
      <c r="E59" s="115"/>
    </row>
    <row r="60" spans="1:45" s="211" customFormat="1" x14ac:dyDescent="0.25">
      <c r="A60" s="99"/>
      <c r="B60" s="99"/>
      <c r="C60" s="99"/>
      <c r="D60" s="99"/>
      <c r="E60" s="115"/>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R60" s="99"/>
      <c r="AS60" s="99"/>
    </row>
    <row r="61" spans="1:45" s="211" customFormat="1" x14ac:dyDescent="0.25">
      <c r="A61" s="99"/>
      <c r="B61" s="99"/>
      <c r="C61" s="99"/>
      <c r="D61" s="99"/>
      <c r="E61" s="115"/>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R61" s="99"/>
      <c r="AS61" s="99"/>
    </row>
    <row r="62" spans="1:45" s="211" customFormat="1" x14ac:dyDescent="0.25">
      <c r="A62" s="99"/>
      <c r="B62" s="99"/>
      <c r="C62" s="99"/>
      <c r="D62" s="99"/>
      <c r="E62" s="115"/>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R62" s="99"/>
      <c r="AS62" s="99"/>
    </row>
    <row r="63" spans="1:45" s="211" customFormat="1" x14ac:dyDescent="0.25">
      <c r="A63" s="99"/>
      <c r="B63" s="99"/>
      <c r="C63" s="99"/>
      <c r="D63" s="99"/>
      <c r="E63" s="115"/>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R63" s="99"/>
      <c r="AS63" s="99"/>
    </row>
    <row r="64" spans="1:45" s="211" customFormat="1" x14ac:dyDescent="0.25">
      <c r="A64" s="99"/>
      <c r="B64" s="99"/>
      <c r="C64" s="99"/>
      <c r="D64" s="99"/>
      <c r="E64" s="115"/>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R64" s="99"/>
      <c r="AS64" s="99"/>
    </row>
    <row r="65" spans="1:45" s="211" customFormat="1" x14ac:dyDescent="0.25">
      <c r="A65" s="99"/>
      <c r="B65" s="99"/>
      <c r="C65" s="99"/>
      <c r="D65" s="99"/>
      <c r="E65" s="115"/>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R65" s="99"/>
      <c r="AS65" s="99"/>
    </row>
    <row r="66" spans="1:45" s="211" customFormat="1" x14ac:dyDescent="0.25">
      <c r="A66" s="99"/>
      <c r="B66" s="99"/>
      <c r="C66" s="99"/>
      <c r="D66" s="99"/>
      <c r="E66" s="115"/>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R66" s="99"/>
      <c r="AS66" s="99"/>
    </row>
  </sheetData>
  <autoFilter ref="A8:AS25"/>
  <mergeCells count="37">
    <mergeCell ref="G29:H29"/>
    <mergeCell ref="AA6:AC6"/>
    <mergeCell ref="AD6:AF6"/>
    <mergeCell ref="K6:K7"/>
    <mergeCell ref="AH6:AH7"/>
    <mergeCell ref="U9:U24"/>
    <mergeCell ref="W6:W7"/>
    <mergeCell ref="X6:Z6"/>
    <mergeCell ref="I29:J29"/>
    <mergeCell ref="K29:L29"/>
    <mergeCell ref="AG6:AG7"/>
    <mergeCell ref="A25:B25"/>
    <mergeCell ref="S6:S7"/>
    <mergeCell ref="T6:T7"/>
    <mergeCell ref="U6:U7"/>
    <mergeCell ref="V6:V7"/>
    <mergeCell ref="L6:L7"/>
    <mergeCell ref="M6:M7"/>
    <mergeCell ref="N6:O6"/>
    <mergeCell ref="P6:P7"/>
    <mergeCell ref="Q6:Q7"/>
    <mergeCell ref="G6:G7"/>
    <mergeCell ref="H6:H7"/>
    <mergeCell ref="I6:I7"/>
    <mergeCell ref="J6:J7"/>
    <mergeCell ref="X5:AH5"/>
    <mergeCell ref="R6:R7"/>
    <mergeCell ref="AE1:AH1"/>
    <mergeCell ref="A2:AH2"/>
    <mergeCell ref="A3:AH3"/>
    <mergeCell ref="A5:A7"/>
    <mergeCell ref="B5:B7"/>
    <mergeCell ref="C5:C7"/>
    <mergeCell ref="D5:W5"/>
    <mergeCell ref="D6:D7"/>
    <mergeCell ref="E6:E7"/>
    <mergeCell ref="F6:F7"/>
  </mergeCells>
  <printOptions horizontalCentered="1"/>
  <pageMargins left="0" right="0" top="0" bottom="0" header="0.31496062992125984" footer="0.31496062992125984"/>
  <pageSetup paperSize="9" scale="39"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S68"/>
  <sheetViews>
    <sheetView view="pageBreakPreview" zoomScale="80" zoomScaleNormal="70" zoomScaleSheetLayoutView="80" workbookViewId="0">
      <pane xSplit="3" ySplit="8" topLeftCell="N21"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10.33203125" style="99" customWidth="1"/>
    <col min="2" max="2" width="30.77734375" style="99" customWidth="1"/>
    <col min="3" max="22" width="13.44140625" style="99" customWidth="1"/>
    <col min="23" max="23" width="12" style="99" customWidth="1"/>
    <col min="24" max="24" width="11.44140625" style="99" customWidth="1"/>
    <col min="25" max="25" width="12.33203125" style="99" customWidth="1"/>
    <col min="26" max="26" width="9.6640625" style="99" customWidth="1"/>
    <col min="27" max="32" width="8.44140625" style="99" customWidth="1"/>
    <col min="33" max="33" width="9.33203125" style="99" customWidth="1"/>
    <col min="34" max="34" width="10.6640625" style="99" customWidth="1"/>
    <col min="35" max="35" width="13.44140625" style="99" customWidth="1"/>
    <col min="36" max="36" width="12.6640625" style="99" customWidth="1"/>
    <col min="37" max="37" width="13" style="99" bestFit="1" customWidth="1"/>
    <col min="38" max="38" width="0" style="99" hidden="1" customWidth="1"/>
    <col min="39" max="39" width="13" style="99" hidden="1" customWidth="1"/>
    <col min="40" max="42" width="9.33203125" style="211"/>
    <col min="43" max="43" width="11.33203125" style="211" bestFit="1" customWidth="1"/>
    <col min="44" max="16384" width="9.33203125" style="99"/>
  </cols>
  <sheetData>
    <row r="1" spans="1:45" ht="22.5" customHeight="1" x14ac:dyDescent="0.25">
      <c r="AE1" s="1546"/>
      <c r="AF1" s="1546"/>
      <c r="AG1" s="1546"/>
      <c r="AH1" s="1546"/>
    </row>
    <row r="2" spans="1:45" ht="24" customHeight="1" x14ac:dyDescent="0.25">
      <c r="A2" s="1547" t="s">
        <v>150</v>
      </c>
      <c r="B2" s="1547"/>
      <c r="C2" s="1547"/>
      <c r="D2" s="1547"/>
      <c r="E2" s="1547"/>
      <c r="F2" s="1547"/>
      <c r="G2" s="1547"/>
      <c r="H2" s="1547"/>
      <c r="I2" s="1547"/>
      <c r="J2" s="1547"/>
      <c r="K2" s="1547"/>
      <c r="L2" s="1547"/>
      <c r="M2" s="1547"/>
      <c r="N2" s="1547"/>
      <c r="O2" s="1547"/>
      <c r="P2" s="1547"/>
      <c r="Q2" s="1547"/>
      <c r="R2" s="1547"/>
      <c r="S2" s="1547"/>
      <c r="T2" s="1547"/>
      <c r="U2" s="1547"/>
      <c r="V2" s="1547"/>
      <c r="W2" s="1547"/>
      <c r="X2" s="1547"/>
      <c r="Y2" s="1547"/>
      <c r="Z2" s="1547"/>
      <c r="AA2" s="1547"/>
      <c r="AB2" s="1547"/>
      <c r="AC2" s="1547"/>
      <c r="AD2" s="1547"/>
      <c r="AE2" s="1547"/>
      <c r="AF2" s="1547"/>
      <c r="AG2" s="1547"/>
      <c r="AH2" s="1547"/>
      <c r="AI2" s="235"/>
    </row>
    <row r="3" spans="1:45" ht="24.75" customHeight="1" x14ac:dyDescent="0.25">
      <c r="A3" s="1548"/>
      <c r="B3" s="1548"/>
      <c r="C3" s="1548"/>
      <c r="D3" s="1548"/>
      <c r="E3" s="1548"/>
      <c r="F3" s="1548"/>
      <c r="G3" s="1548"/>
      <c r="H3" s="1548"/>
      <c r="I3" s="1548"/>
      <c r="J3" s="1548"/>
      <c r="K3" s="1548"/>
      <c r="L3" s="1548"/>
      <c r="M3" s="1548"/>
      <c r="N3" s="1548"/>
      <c r="O3" s="1548"/>
      <c r="P3" s="1548"/>
      <c r="Q3" s="1548"/>
      <c r="R3" s="1548"/>
      <c r="S3" s="1548"/>
      <c r="T3" s="1548"/>
      <c r="U3" s="1548"/>
      <c r="V3" s="1548"/>
      <c r="W3" s="1548"/>
      <c r="X3" s="1548"/>
      <c r="Y3" s="1548"/>
      <c r="Z3" s="1548"/>
      <c r="AA3" s="1548"/>
      <c r="AB3" s="1548"/>
      <c r="AC3" s="1548"/>
      <c r="AD3" s="1548"/>
      <c r="AE3" s="1548"/>
      <c r="AF3" s="1548"/>
      <c r="AG3" s="1548"/>
      <c r="AH3" s="1548"/>
      <c r="AI3" s="101"/>
    </row>
    <row r="4" spans="1:45" x14ac:dyDescent="0.25">
      <c r="L4" s="38">
        <v>0.27208500000000002</v>
      </c>
      <c r="M4" s="38"/>
    </row>
    <row r="5" spans="1:45" ht="38.25" customHeight="1" x14ac:dyDescent="0.25">
      <c r="A5" s="1549" t="s">
        <v>78</v>
      </c>
      <c r="B5" s="1549" t="s">
        <v>77</v>
      </c>
      <c r="C5" s="1550" t="s">
        <v>0</v>
      </c>
      <c r="D5" s="1550" t="s">
        <v>3</v>
      </c>
      <c r="E5" s="1550"/>
      <c r="F5" s="1550"/>
      <c r="G5" s="1550"/>
      <c r="H5" s="1550"/>
      <c r="I5" s="1550"/>
      <c r="J5" s="1550"/>
      <c r="K5" s="1550"/>
      <c r="L5" s="1550"/>
      <c r="M5" s="1550"/>
      <c r="N5" s="1550"/>
      <c r="O5" s="1550"/>
      <c r="P5" s="1550"/>
      <c r="Q5" s="1550"/>
      <c r="R5" s="1550"/>
      <c r="S5" s="1550"/>
      <c r="T5" s="1550"/>
      <c r="U5" s="1550"/>
      <c r="V5" s="1550"/>
      <c r="W5" s="1550"/>
      <c r="X5" s="1550" t="s">
        <v>4</v>
      </c>
      <c r="Y5" s="1550"/>
      <c r="Z5" s="1550"/>
      <c r="AA5" s="1550"/>
      <c r="AB5" s="1550"/>
      <c r="AC5" s="1550"/>
      <c r="AD5" s="1550"/>
      <c r="AE5" s="1550"/>
      <c r="AF5" s="1550"/>
      <c r="AG5" s="1550"/>
      <c r="AH5" s="1550"/>
    </row>
    <row r="6" spans="1:45" ht="60" customHeight="1" x14ac:dyDescent="0.25">
      <c r="A6" s="1549"/>
      <c r="B6" s="1549"/>
      <c r="C6" s="1550"/>
      <c r="D6" s="1551" t="s">
        <v>68</v>
      </c>
      <c r="E6" s="1551" t="s">
        <v>69</v>
      </c>
      <c r="F6" s="1551" t="s">
        <v>89</v>
      </c>
      <c r="G6" s="1551" t="s">
        <v>1</v>
      </c>
      <c r="H6" s="1551" t="s">
        <v>2</v>
      </c>
      <c r="I6" s="1551" t="s">
        <v>70</v>
      </c>
      <c r="J6" s="1551" t="s">
        <v>61</v>
      </c>
      <c r="K6" s="1551" t="s">
        <v>27</v>
      </c>
      <c r="L6" s="1553" t="s">
        <v>65</v>
      </c>
      <c r="M6" s="1553" t="s">
        <v>86</v>
      </c>
      <c r="N6" s="1554" t="s">
        <v>90</v>
      </c>
      <c r="O6" s="1554"/>
      <c r="P6" s="1554" t="s">
        <v>88</v>
      </c>
      <c r="Q6" s="1553" t="s">
        <v>82</v>
      </c>
      <c r="R6" s="1551" t="s">
        <v>83</v>
      </c>
      <c r="S6" s="1553" t="s">
        <v>87</v>
      </c>
      <c r="T6" s="1551" t="s">
        <v>84</v>
      </c>
      <c r="U6" s="1551" t="s">
        <v>9</v>
      </c>
      <c r="V6" s="1551" t="s">
        <v>7</v>
      </c>
      <c r="W6" s="1551" t="s">
        <v>85</v>
      </c>
      <c r="X6" s="1550" t="s">
        <v>10</v>
      </c>
      <c r="Y6" s="1550"/>
      <c r="Z6" s="1550"/>
      <c r="AA6" s="1550" t="s">
        <v>11</v>
      </c>
      <c r="AB6" s="1550"/>
      <c r="AC6" s="1550"/>
      <c r="AD6" s="1550" t="s">
        <v>12</v>
      </c>
      <c r="AE6" s="1550"/>
      <c r="AF6" s="1550"/>
      <c r="AG6" s="1550" t="s">
        <v>13</v>
      </c>
      <c r="AH6" s="1550" t="s">
        <v>73</v>
      </c>
    </row>
    <row r="7" spans="1:45" ht="97.5" customHeight="1" x14ac:dyDescent="0.25">
      <c r="A7" s="1549"/>
      <c r="B7" s="1549"/>
      <c r="C7" s="1550"/>
      <c r="D7" s="1551"/>
      <c r="E7" s="1551"/>
      <c r="F7" s="1551"/>
      <c r="G7" s="1551"/>
      <c r="H7" s="1551"/>
      <c r="I7" s="1551"/>
      <c r="J7" s="1551"/>
      <c r="K7" s="1551"/>
      <c r="L7" s="1553" t="s">
        <v>66</v>
      </c>
      <c r="M7" s="1553"/>
      <c r="N7" s="104" t="s">
        <v>80</v>
      </c>
      <c r="O7" s="104" t="s">
        <v>81</v>
      </c>
      <c r="P7" s="1554"/>
      <c r="Q7" s="1553"/>
      <c r="R7" s="1551"/>
      <c r="S7" s="1553" t="s">
        <v>67</v>
      </c>
      <c r="T7" s="1551"/>
      <c r="U7" s="1551"/>
      <c r="V7" s="1551"/>
      <c r="W7" s="1551"/>
      <c r="X7" s="105" t="s">
        <v>5</v>
      </c>
      <c r="Y7" s="105" t="s">
        <v>6</v>
      </c>
      <c r="Z7" s="105" t="s">
        <v>74</v>
      </c>
      <c r="AA7" s="105" t="s">
        <v>5</v>
      </c>
      <c r="AB7" s="105" t="s">
        <v>6</v>
      </c>
      <c r="AC7" s="105" t="s">
        <v>75</v>
      </c>
      <c r="AD7" s="105" t="s">
        <v>5</v>
      </c>
      <c r="AE7" s="105" t="s">
        <v>6</v>
      </c>
      <c r="AF7" s="105" t="s">
        <v>76</v>
      </c>
      <c r="AG7" s="1550"/>
      <c r="AH7" s="1550"/>
      <c r="AK7" s="99" t="s">
        <v>64</v>
      </c>
      <c r="AL7" s="99" t="s">
        <v>62</v>
      </c>
      <c r="AM7" s="99" t="s">
        <v>63</v>
      </c>
    </row>
    <row r="8" spans="1:45" ht="18" customHeight="1" x14ac:dyDescent="0.25">
      <c r="A8" s="103">
        <v>1</v>
      </c>
      <c r="B8" s="103">
        <v>2</v>
      </c>
      <c r="C8" s="103">
        <v>3</v>
      </c>
      <c r="D8" s="103">
        <v>4</v>
      </c>
      <c r="E8" s="103">
        <v>5</v>
      </c>
      <c r="F8" s="103">
        <v>6</v>
      </c>
      <c r="G8" s="103">
        <v>7</v>
      </c>
      <c r="H8" s="103">
        <v>8</v>
      </c>
      <c r="I8" s="103">
        <v>9</v>
      </c>
      <c r="J8" s="103">
        <v>10</v>
      </c>
      <c r="K8" s="103">
        <v>11</v>
      </c>
      <c r="L8" s="103">
        <v>12</v>
      </c>
      <c r="M8" s="103">
        <v>13</v>
      </c>
      <c r="N8" s="103">
        <v>14</v>
      </c>
      <c r="O8" s="103">
        <v>15</v>
      </c>
      <c r="P8" s="103">
        <v>16</v>
      </c>
      <c r="Q8" s="103">
        <v>17</v>
      </c>
      <c r="R8" s="103">
        <v>18</v>
      </c>
      <c r="S8" s="103">
        <v>19</v>
      </c>
      <c r="T8" s="103">
        <v>20</v>
      </c>
      <c r="U8" s="103">
        <v>21</v>
      </c>
      <c r="V8" s="103">
        <v>22</v>
      </c>
      <c r="W8" s="103">
        <v>23</v>
      </c>
      <c r="X8" s="103">
        <v>24</v>
      </c>
      <c r="Y8" s="103">
        <v>25</v>
      </c>
      <c r="Z8" s="103">
        <v>26</v>
      </c>
      <c r="AA8" s="103">
        <v>27</v>
      </c>
      <c r="AB8" s="103">
        <v>28</v>
      </c>
      <c r="AC8" s="103">
        <v>29</v>
      </c>
      <c r="AD8" s="103">
        <v>30</v>
      </c>
      <c r="AE8" s="103">
        <v>31</v>
      </c>
      <c r="AF8" s="103">
        <v>32</v>
      </c>
      <c r="AG8" s="103">
        <v>33</v>
      </c>
      <c r="AH8" s="103">
        <v>34</v>
      </c>
      <c r="AN8" s="212" t="s">
        <v>116</v>
      </c>
      <c r="AO8" s="212" t="s">
        <v>117</v>
      </c>
      <c r="AP8" s="212" t="s">
        <v>118</v>
      </c>
      <c r="AQ8" s="212" t="s">
        <v>119</v>
      </c>
    </row>
    <row r="9" spans="1:45" ht="16.5" customHeight="1" x14ac:dyDescent="0.25">
      <c r="A9" s="103">
        <v>1</v>
      </c>
      <c r="B9" s="236" t="s">
        <v>14</v>
      </c>
      <c r="C9" s="259">
        <v>1</v>
      </c>
      <c r="D9" s="237">
        <v>25.873000000000001</v>
      </c>
      <c r="E9" s="260">
        <f t="shared" ref="E9:E27" si="0">C9*D9</f>
        <v>25.87</v>
      </c>
      <c r="F9" s="185">
        <f t="shared" ref="F9:F27" si="1">E9*12</f>
        <v>310.39999999999998</v>
      </c>
      <c r="G9" s="95"/>
      <c r="H9" s="95"/>
      <c r="I9" s="95"/>
      <c r="J9" s="95"/>
      <c r="K9" s="95"/>
      <c r="L9" s="95">
        <f>F9*$L$4</f>
        <v>84.5</v>
      </c>
      <c r="M9" s="95">
        <f t="shared" ref="M9:M27" si="2">F9+G9+H9+I9+J9+K9+L9</f>
        <v>394.9</v>
      </c>
      <c r="N9" s="111">
        <v>0.47</v>
      </c>
      <c r="O9" s="95">
        <f t="shared" ref="O9:O27" si="3">M9*N9</f>
        <v>185.6</v>
      </c>
      <c r="P9" s="95">
        <f t="shared" ref="P9:P27" si="4">M9+O9</f>
        <v>580.5</v>
      </c>
      <c r="Q9" s="95">
        <f t="shared" ref="Q9:Q27" si="5">P9*0.8</f>
        <v>464.4</v>
      </c>
      <c r="R9" s="95">
        <f t="shared" ref="R9:R27" si="6">P9*0.8</f>
        <v>464.4</v>
      </c>
      <c r="S9" s="95">
        <f t="shared" ref="S9:S27" si="7">(P9+Q9+R9)*0.032</f>
        <v>48.3</v>
      </c>
      <c r="T9" s="95">
        <f t="shared" ref="T9:T27" si="8">P9+Q9+R9+S9</f>
        <v>1557.6</v>
      </c>
      <c r="U9" s="1947">
        <v>1</v>
      </c>
      <c r="V9" s="95">
        <f t="shared" ref="V9:V26" si="9">T9*$U$9</f>
        <v>1557.6</v>
      </c>
      <c r="W9" s="95">
        <f>AQ9</f>
        <v>401.5</v>
      </c>
      <c r="X9" s="103">
        <v>1</v>
      </c>
      <c r="Y9" s="112">
        <v>30</v>
      </c>
      <c r="Z9" s="113">
        <f t="shared" ref="Z9:Z27" si="10">X9*Y9</f>
        <v>30</v>
      </c>
      <c r="AA9" s="103"/>
      <c r="AB9" s="112">
        <v>15</v>
      </c>
      <c r="AC9" s="113">
        <f t="shared" ref="AC9:AC27" si="11">AA9*AB9</f>
        <v>0</v>
      </c>
      <c r="AD9" s="103"/>
      <c r="AE9" s="112">
        <v>30</v>
      </c>
      <c r="AF9" s="113">
        <f t="shared" ref="AF9:AF27" si="12">AD9*AE9</f>
        <v>0</v>
      </c>
      <c r="AG9" s="113">
        <f t="shared" ref="AG9:AG27" si="13">(Z9+AC9+AF9)*1%*30</f>
        <v>9</v>
      </c>
      <c r="AH9" s="113">
        <f t="shared" ref="AH9:AH27" si="14">Z9+AC9+AF9+AG9</f>
        <v>39</v>
      </c>
      <c r="AI9" s="131">
        <f t="shared" ref="AI9:AI23" si="15">V9/12/C9*1000</f>
        <v>129800</v>
      </c>
      <c r="AK9" s="114">
        <f t="shared" ref="AK9:AK23" si="16">V9/C9</f>
        <v>1557.6</v>
      </c>
      <c r="AL9" s="114">
        <f>((979*0.302)+((AK9-979)*0.182))</f>
        <v>401</v>
      </c>
      <c r="AM9" s="115">
        <f>AL9/AK9</f>
        <v>0.25700000000000001</v>
      </c>
      <c r="AN9" s="50">
        <f>1150*0.22+(AK9-1150)*0.1</f>
        <v>293.8</v>
      </c>
      <c r="AO9" s="50">
        <f>865*0.029</f>
        <v>25.1</v>
      </c>
      <c r="AP9" s="50">
        <f>AK9*0.053</f>
        <v>82.6</v>
      </c>
      <c r="AQ9" s="50">
        <f>SUM(AN9:AP9)*C9</f>
        <v>401.5</v>
      </c>
      <c r="AS9" s="99">
        <f t="shared" ref="AS9:AS27" si="17">D9*1.5</f>
        <v>38.8095</v>
      </c>
    </row>
    <row r="10" spans="1:45" x14ac:dyDescent="0.25">
      <c r="A10" s="103">
        <v>2</v>
      </c>
      <c r="B10" s="236" t="s">
        <v>127</v>
      </c>
      <c r="C10" s="259">
        <v>2</v>
      </c>
      <c r="D10" s="237">
        <v>18.111000000000001</v>
      </c>
      <c r="E10" s="260">
        <f t="shared" si="0"/>
        <v>36.22</v>
      </c>
      <c r="F10" s="185">
        <f t="shared" si="1"/>
        <v>434.6</v>
      </c>
      <c r="G10" s="95"/>
      <c r="H10" s="95">
        <f>7.062+7.945</f>
        <v>15</v>
      </c>
      <c r="I10" s="95"/>
      <c r="J10" s="95"/>
      <c r="K10" s="95">
        <f>(D10*0.4+D10*0.2)*12</f>
        <v>130.4</v>
      </c>
      <c r="L10" s="95">
        <f t="shared" ref="L10:L25" si="18">F10*$L$4</f>
        <v>118.2</v>
      </c>
      <c r="M10" s="95">
        <f t="shared" si="2"/>
        <v>698.2</v>
      </c>
      <c r="N10" s="111">
        <v>0.47</v>
      </c>
      <c r="O10" s="95">
        <f t="shared" si="3"/>
        <v>328.2</v>
      </c>
      <c r="P10" s="95">
        <f t="shared" si="4"/>
        <v>1026.4000000000001</v>
      </c>
      <c r="Q10" s="95">
        <f t="shared" si="5"/>
        <v>821.1</v>
      </c>
      <c r="R10" s="95">
        <f t="shared" si="6"/>
        <v>821.1</v>
      </c>
      <c r="S10" s="95">
        <f t="shared" si="7"/>
        <v>85.4</v>
      </c>
      <c r="T10" s="95">
        <f t="shared" si="8"/>
        <v>2754</v>
      </c>
      <c r="U10" s="1948"/>
      <c r="V10" s="95">
        <f t="shared" si="9"/>
        <v>2754</v>
      </c>
      <c r="W10" s="95">
        <f>AQ10</f>
        <v>747.6</v>
      </c>
      <c r="X10" s="103"/>
      <c r="Y10" s="112">
        <v>30</v>
      </c>
      <c r="Z10" s="113">
        <f t="shared" si="10"/>
        <v>0</v>
      </c>
      <c r="AA10" s="103"/>
      <c r="AB10" s="112">
        <v>15</v>
      </c>
      <c r="AC10" s="113">
        <f t="shared" si="11"/>
        <v>0</v>
      </c>
      <c r="AD10" s="103"/>
      <c r="AE10" s="112">
        <v>30</v>
      </c>
      <c r="AF10" s="113">
        <f t="shared" si="12"/>
        <v>0</v>
      </c>
      <c r="AG10" s="113">
        <f t="shared" si="13"/>
        <v>0</v>
      </c>
      <c r="AH10" s="113">
        <f t="shared" si="14"/>
        <v>0</v>
      </c>
      <c r="AI10" s="131">
        <f t="shared" si="15"/>
        <v>114750</v>
      </c>
      <c r="AK10" s="114">
        <f t="shared" si="16"/>
        <v>1377</v>
      </c>
      <c r="AL10" s="114">
        <f t="shared" ref="AL10:AL27" si="19">((979*0.302)+((AK10-979)*0.182))</f>
        <v>368.1</v>
      </c>
      <c r="AM10" s="115">
        <f>AL10/AK10</f>
        <v>0.26700000000000002</v>
      </c>
      <c r="AN10" s="50">
        <f>1150*0.22+(AK10-1150)*0.1</f>
        <v>275.7</v>
      </c>
      <c r="AO10" s="50">
        <f>865*0.029</f>
        <v>25.1</v>
      </c>
      <c r="AP10" s="50">
        <f>AK10*0.053</f>
        <v>73</v>
      </c>
      <c r="AQ10" s="50">
        <f>SUM(AN10:AP10)*C10</f>
        <v>747.6</v>
      </c>
      <c r="AS10" s="99">
        <f t="shared" si="17"/>
        <v>27.166499999999999</v>
      </c>
    </row>
    <row r="11" spans="1:45" ht="15.75" customHeight="1" x14ac:dyDescent="0.25">
      <c r="A11" s="103">
        <v>3</v>
      </c>
      <c r="B11" s="261" t="s">
        <v>23</v>
      </c>
      <c r="C11" s="262">
        <v>4</v>
      </c>
      <c r="D11" s="237">
        <v>11.061999999999999</v>
      </c>
      <c r="E11" s="111">
        <f t="shared" si="0"/>
        <v>44.25</v>
      </c>
      <c r="F11" s="95">
        <f t="shared" si="1"/>
        <v>531</v>
      </c>
      <c r="G11" s="95"/>
      <c r="H11" s="95">
        <f>2.757+7.01+7.01+7.789</f>
        <v>24.6</v>
      </c>
      <c r="I11" s="95"/>
      <c r="J11" s="95"/>
      <c r="K11" s="95">
        <f>(D11*0.4*3+D11*0.25)*12</f>
        <v>192.5</v>
      </c>
      <c r="L11" s="95">
        <f t="shared" si="18"/>
        <v>144.5</v>
      </c>
      <c r="M11" s="95">
        <f t="shared" si="2"/>
        <v>892.6</v>
      </c>
      <c r="N11" s="111">
        <v>0.43</v>
      </c>
      <c r="O11" s="95">
        <f t="shared" si="3"/>
        <v>383.8</v>
      </c>
      <c r="P11" s="95">
        <f t="shared" si="4"/>
        <v>1276.4000000000001</v>
      </c>
      <c r="Q11" s="95">
        <f t="shared" si="5"/>
        <v>1021.1</v>
      </c>
      <c r="R11" s="95">
        <f t="shared" si="6"/>
        <v>1021.1</v>
      </c>
      <c r="S11" s="95">
        <f t="shared" si="7"/>
        <v>106.2</v>
      </c>
      <c r="T11" s="95">
        <f t="shared" si="8"/>
        <v>3424.8</v>
      </c>
      <c r="U11" s="1948"/>
      <c r="V11" s="95">
        <f>T11*$U$9</f>
        <v>3424.8</v>
      </c>
      <c r="W11" s="95">
        <f>V11*0.302</f>
        <v>1034.3</v>
      </c>
      <c r="X11" s="239">
        <v>2</v>
      </c>
      <c r="Y11" s="240">
        <v>30</v>
      </c>
      <c r="Z11" s="241">
        <f t="shared" si="10"/>
        <v>60</v>
      </c>
      <c r="AA11" s="239"/>
      <c r="AB11" s="240">
        <v>15</v>
      </c>
      <c r="AC11" s="241">
        <f t="shared" si="11"/>
        <v>0</v>
      </c>
      <c r="AD11" s="239">
        <v>2</v>
      </c>
      <c r="AE11" s="240">
        <v>30</v>
      </c>
      <c r="AF11" s="241">
        <f t="shared" si="12"/>
        <v>60</v>
      </c>
      <c r="AG11" s="241">
        <f t="shared" si="13"/>
        <v>36</v>
      </c>
      <c r="AH11" s="241">
        <f t="shared" si="14"/>
        <v>156</v>
      </c>
      <c r="AI11" s="131">
        <f t="shared" si="15"/>
        <v>71350</v>
      </c>
      <c r="AK11" s="114">
        <f t="shared" si="16"/>
        <v>856.2</v>
      </c>
      <c r="AL11" s="114">
        <f t="shared" si="19"/>
        <v>273.3</v>
      </c>
      <c r="AM11" s="115">
        <v>0.30199999999999999</v>
      </c>
      <c r="AN11" s="50"/>
      <c r="AO11" s="50"/>
      <c r="AP11" s="50"/>
      <c r="AQ11" s="50"/>
      <c r="AS11" s="99">
        <f t="shared" si="17"/>
        <v>16.593</v>
      </c>
    </row>
    <row r="12" spans="1:45" x14ac:dyDescent="0.25">
      <c r="A12" s="103">
        <v>4</v>
      </c>
      <c r="B12" s="261" t="s">
        <v>47</v>
      </c>
      <c r="C12" s="262">
        <v>1</v>
      </c>
      <c r="D12" s="237">
        <v>6.2859999999999996</v>
      </c>
      <c r="E12" s="111">
        <f t="shared" si="0"/>
        <v>6.29</v>
      </c>
      <c r="F12" s="95">
        <f t="shared" si="1"/>
        <v>75.5</v>
      </c>
      <c r="G12" s="95"/>
      <c r="H12" s="95">
        <f>3064.3/1000</f>
        <v>3.1</v>
      </c>
      <c r="I12" s="95"/>
      <c r="J12" s="95"/>
      <c r="K12" s="95">
        <f>F12*0.25</f>
        <v>18.899999999999999</v>
      </c>
      <c r="L12" s="95">
        <f t="shared" si="18"/>
        <v>20.5</v>
      </c>
      <c r="M12" s="95">
        <f t="shared" si="2"/>
        <v>118</v>
      </c>
      <c r="N12" s="111">
        <v>0.45</v>
      </c>
      <c r="O12" s="95">
        <f t="shared" si="3"/>
        <v>53.1</v>
      </c>
      <c r="P12" s="95">
        <f t="shared" si="4"/>
        <v>171.1</v>
      </c>
      <c r="Q12" s="95">
        <f t="shared" si="5"/>
        <v>136.9</v>
      </c>
      <c r="R12" s="95">
        <f t="shared" si="6"/>
        <v>136.9</v>
      </c>
      <c r="S12" s="95">
        <f t="shared" si="7"/>
        <v>14.2</v>
      </c>
      <c r="T12" s="95">
        <f t="shared" si="8"/>
        <v>459.1</v>
      </c>
      <c r="U12" s="1948"/>
      <c r="V12" s="95">
        <f t="shared" si="9"/>
        <v>459.1</v>
      </c>
      <c r="W12" s="95">
        <f t="shared" ref="W12:W27" si="20">V12*0.302</f>
        <v>138.6</v>
      </c>
      <c r="X12" s="239">
        <v>1</v>
      </c>
      <c r="Y12" s="240">
        <v>30</v>
      </c>
      <c r="Z12" s="241">
        <f t="shared" si="10"/>
        <v>30</v>
      </c>
      <c r="AA12" s="239"/>
      <c r="AB12" s="240">
        <v>15</v>
      </c>
      <c r="AC12" s="241">
        <f t="shared" si="11"/>
        <v>0</v>
      </c>
      <c r="AD12" s="239"/>
      <c r="AE12" s="240">
        <v>30</v>
      </c>
      <c r="AF12" s="241">
        <f t="shared" si="12"/>
        <v>0</v>
      </c>
      <c r="AG12" s="241">
        <f t="shared" si="13"/>
        <v>9</v>
      </c>
      <c r="AH12" s="241">
        <f t="shared" si="14"/>
        <v>39</v>
      </c>
      <c r="AI12" s="131">
        <f t="shared" si="15"/>
        <v>38258.33</v>
      </c>
      <c r="AK12" s="114">
        <f t="shared" si="16"/>
        <v>459.1</v>
      </c>
      <c r="AL12" s="114">
        <f t="shared" si="19"/>
        <v>201</v>
      </c>
      <c r="AM12" s="115">
        <v>0.30199999999999999</v>
      </c>
      <c r="AO12" s="50"/>
      <c r="AP12" s="50"/>
      <c r="AQ12" s="50"/>
      <c r="AS12" s="99">
        <f t="shared" si="17"/>
        <v>9.4290000000000003</v>
      </c>
    </row>
    <row r="13" spans="1:45" x14ac:dyDescent="0.25">
      <c r="A13" s="103">
        <v>5</v>
      </c>
      <c r="B13" s="236" t="s">
        <v>15</v>
      </c>
      <c r="C13" s="262">
        <v>1</v>
      </c>
      <c r="D13" s="237">
        <v>11.061999999999999</v>
      </c>
      <c r="E13" s="111">
        <f t="shared" si="0"/>
        <v>11.06</v>
      </c>
      <c r="F13" s="95">
        <f t="shared" si="1"/>
        <v>132.69999999999999</v>
      </c>
      <c r="G13" s="95"/>
      <c r="H13" s="95"/>
      <c r="I13" s="95"/>
      <c r="J13" s="95"/>
      <c r="K13" s="95">
        <f>D11*0.25*4.6+D11*0.3*7.4</f>
        <v>37.299999999999997</v>
      </c>
      <c r="L13" s="95">
        <f t="shared" si="18"/>
        <v>36.1</v>
      </c>
      <c r="M13" s="95">
        <f t="shared" si="2"/>
        <v>206.1</v>
      </c>
      <c r="N13" s="111">
        <v>0.43</v>
      </c>
      <c r="O13" s="95">
        <f t="shared" si="3"/>
        <v>88.6</v>
      </c>
      <c r="P13" s="95">
        <f t="shared" si="4"/>
        <v>294.7</v>
      </c>
      <c r="Q13" s="95">
        <f t="shared" si="5"/>
        <v>235.8</v>
      </c>
      <c r="R13" s="95">
        <f t="shared" si="6"/>
        <v>235.8</v>
      </c>
      <c r="S13" s="95">
        <f t="shared" si="7"/>
        <v>24.5</v>
      </c>
      <c r="T13" s="95">
        <f t="shared" si="8"/>
        <v>790.8</v>
      </c>
      <c r="U13" s="1948"/>
      <c r="V13" s="95">
        <f t="shared" si="9"/>
        <v>790.8</v>
      </c>
      <c r="W13" s="95">
        <f t="shared" si="20"/>
        <v>238.8</v>
      </c>
      <c r="X13" s="239"/>
      <c r="Y13" s="240">
        <v>30</v>
      </c>
      <c r="Z13" s="241">
        <f t="shared" si="10"/>
        <v>0</v>
      </c>
      <c r="AA13" s="239"/>
      <c r="AB13" s="240">
        <v>15</v>
      </c>
      <c r="AC13" s="241">
        <f t="shared" si="11"/>
        <v>0</v>
      </c>
      <c r="AD13" s="239"/>
      <c r="AE13" s="240">
        <v>30</v>
      </c>
      <c r="AF13" s="241">
        <f t="shared" si="12"/>
        <v>0</v>
      </c>
      <c r="AG13" s="241">
        <f t="shared" si="13"/>
        <v>0</v>
      </c>
      <c r="AH13" s="241">
        <f t="shared" si="14"/>
        <v>0</v>
      </c>
      <c r="AI13" s="131">
        <f t="shared" si="15"/>
        <v>65900</v>
      </c>
      <c r="AK13" s="114">
        <f t="shared" si="16"/>
        <v>790.8</v>
      </c>
      <c r="AL13" s="114">
        <f t="shared" si="19"/>
        <v>261.39999999999998</v>
      </c>
      <c r="AM13" s="115">
        <v>0.30199999999999999</v>
      </c>
      <c r="AN13" s="50"/>
      <c r="AO13" s="50"/>
      <c r="AP13" s="50"/>
      <c r="AQ13" s="50"/>
      <c r="AS13" s="99">
        <f t="shared" si="17"/>
        <v>16.593</v>
      </c>
    </row>
    <row r="14" spans="1:45" s="245" customFormat="1" x14ac:dyDescent="0.25">
      <c r="A14" s="103">
        <v>6</v>
      </c>
      <c r="B14" s="261" t="s">
        <v>48</v>
      </c>
      <c r="C14" s="262">
        <v>1</v>
      </c>
      <c r="D14" s="237">
        <v>11.061999999999999</v>
      </c>
      <c r="E14" s="249">
        <f t="shared" si="0"/>
        <v>11.06</v>
      </c>
      <c r="F14" s="248">
        <f t="shared" si="1"/>
        <v>132.69999999999999</v>
      </c>
      <c r="G14" s="248"/>
      <c r="H14" s="248">
        <v>7</v>
      </c>
      <c r="I14" s="248"/>
      <c r="J14" s="248"/>
      <c r="K14" s="248">
        <f>F14*0.4</f>
        <v>53.1</v>
      </c>
      <c r="L14" s="95">
        <f t="shared" si="18"/>
        <v>36.1</v>
      </c>
      <c r="M14" s="248">
        <f t="shared" si="2"/>
        <v>228.9</v>
      </c>
      <c r="N14" s="111">
        <v>0.47</v>
      </c>
      <c r="O14" s="248">
        <f t="shared" si="3"/>
        <v>107.6</v>
      </c>
      <c r="P14" s="248">
        <f t="shared" si="4"/>
        <v>336.5</v>
      </c>
      <c r="Q14" s="248">
        <f t="shared" si="5"/>
        <v>269.2</v>
      </c>
      <c r="R14" s="248">
        <f t="shared" si="6"/>
        <v>269.2</v>
      </c>
      <c r="S14" s="248">
        <f t="shared" si="7"/>
        <v>28</v>
      </c>
      <c r="T14" s="248">
        <f t="shared" si="8"/>
        <v>902.9</v>
      </c>
      <c r="U14" s="1948"/>
      <c r="V14" s="248">
        <f t="shared" si="9"/>
        <v>902.9</v>
      </c>
      <c r="W14" s="95">
        <f>AQ14</f>
        <v>271.60000000000002</v>
      </c>
      <c r="X14" s="239"/>
      <c r="Y14" s="240">
        <v>30</v>
      </c>
      <c r="Z14" s="241">
        <f t="shared" si="10"/>
        <v>0</v>
      </c>
      <c r="AA14" s="239"/>
      <c r="AB14" s="240">
        <v>15</v>
      </c>
      <c r="AC14" s="241">
        <f t="shared" si="11"/>
        <v>0</v>
      </c>
      <c r="AD14" s="239"/>
      <c r="AE14" s="240">
        <v>30</v>
      </c>
      <c r="AF14" s="241">
        <f t="shared" si="12"/>
        <v>0</v>
      </c>
      <c r="AG14" s="241">
        <f t="shared" si="13"/>
        <v>0</v>
      </c>
      <c r="AH14" s="241">
        <f t="shared" si="14"/>
        <v>0</v>
      </c>
      <c r="AI14" s="131">
        <f t="shared" si="15"/>
        <v>75241.67</v>
      </c>
      <c r="AK14" s="114">
        <f t="shared" si="16"/>
        <v>902.9</v>
      </c>
      <c r="AL14" s="114">
        <f t="shared" si="19"/>
        <v>281.8</v>
      </c>
      <c r="AM14" s="115">
        <v>0.30199999999999999</v>
      </c>
      <c r="AN14" s="50">
        <f>AK14*0.22</f>
        <v>198.6</v>
      </c>
      <c r="AO14" s="50">
        <f>865*0.029</f>
        <v>25.1</v>
      </c>
      <c r="AP14" s="50">
        <f>AK14*0.053</f>
        <v>47.9</v>
      </c>
      <c r="AQ14" s="50">
        <f>SUM(AN14:AP14)*C14</f>
        <v>271.60000000000002</v>
      </c>
      <c r="AS14" s="99">
        <f t="shared" si="17"/>
        <v>16.593</v>
      </c>
    </row>
    <row r="15" spans="1:45" x14ac:dyDescent="0.25">
      <c r="A15" s="103">
        <v>7</v>
      </c>
      <c r="B15" s="236" t="s">
        <v>49</v>
      </c>
      <c r="C15" s="259">
        <v>1</v>
      </c>
      <c r="D15" s="237">
        <v>8.4730000000000008</v>
      </c>
      <c r="E15" s="111">
        <f t="shared" si="0"/>
        <v>8.4700000000000006</v>
      </c>
      <c r="F15" s="95">
        <f t="shared" si="1"/>
        <v>101.6</v>
      </c>
      <c r="G15" s="95"/>
      <c r="H15" s="95">
        <v>6</v>
      </c>
      <c r="I15" s="95"/>
      <c r="J15" s="95"/>
      <c r="K15" s="95">
        <f>F15*0.2</f>
        <v>20.3</v>
      </c>
      <c r="L15" s="95">
        <f t="shared" si="18"/>
        <v>27.6</v>
      </c>
      <c r="M15" s="95">
        <f t="shared" si="2"/>
        <v>155.5</v>
      </c>
      <c r="N15" s="111">
        <v>0.41</v>
      </c>
      <c r="O15" s="95">
        <f t="shared" si="3"/>
        <v>63.8</v>
      </c>
      <c r="P15" s="95">
        <f t="shared" si="4"/>
        <v>219.3</v>
      </c>
      <c r="Q15" s="95">
        <f t="shared" si="5"/>
        <v>175.4</v>
      </c>
      <c r="R15" s="95">
        <f t="shared" si="6"/>
        <v>175.4</v>
      </c>
      <c r="S15" s="95">
        <f t="shared" si="7"/>
        <v>18.2</v>
      </c>
      <c r="T15" s="95">
        <f t="shared" si="8"/>
        <v>588.29999999999995</v>
      </c>
      <c r="U15" s="1948"/>
      <c r="V15" s="95">
        <f t="shared" si="9"/>
        <v>588.29999999999995</v>
      </c>
      <c r="W15" s="95">
        <f t="shared" si="20"/>
        <v>177.7</v>
      </c>
      <c r="X15" s="103"/>
      <c r="Y15" s="112">
        <v>30</v>
      </c>
      <c r="Z15" s="113">
        <f t="shared" si="10"/>
        <v>0</v>
      </c>
      <c r="AA15" s="127"/>
      <c r="AB15" s="112">
        <v>15</v>
      </c>
      <c r="AC15" s="113">
        <f t="shared" si="11"/>
        <v>0</v>
      </c>
      <c r="AD15" s="127"/>
      <c r="AE15" s="112">
        <v>30</v>
      </c>
      <c r="AF15" s="113">
        <f t="shared" si="12"/>
        <v>0</v>
      </c>
      <c r="AG15" s="113">
        <f t="shared" si="13"/>
        <v>0</v>
      </c>
      <c r="AH15" s="113">
        <f t="shared" si="14"/>
        <v>0</v>
      </c>
      <c r="AI15" s="131">
        <f t="shared" si="15"/>
        <v>49025</v>
      </c>
      <c r="AK15" s="114">
        <f t="shared" si="16"/>
        <v>588.29999999999995</v>
      </c>
      <c r="AL15" s="114">
        <f t="shared" si="19"/>
        <v>224.6</v>
      </c>
      <c r="AM15" s="115">
        <v>0.30199999999999999</v>
      </c>
      <c r="AO15" s="50"/>
      <c r="AP15" s="50"/>
      <c r="AQ15" s="50"/>
      <c r="AS15" s="99">
        <f t="shared" si="17"/>
        <v>12.7095</v>
      </c>
    </row>
    <row r="16" spans="1:45" x14ac:dyDescent="0.25">
      <c r="A16" s="103">
        <v>8</v>
      </c>
      <c r="B16" s="236" t="s">
        <v>59</v>
      </c>
      <c r="C16" s="259">
        <v>1</v>
      </c>
      <c r="D16" s="237">
        <v>8.4730000000000008</v>
      </c>
      <c r="E16" s="111">
        <f t="shared" si="0"/>
        <v>8.4700000000000006</v>
      </c>
      <c r="F16" s="95">
        <f t="shared" si="1"/>
        <v>101.6</v>
      </c>
      <c r="G16" s="95"/>
      <c r="H16" s="95">
        <v>5.4</v>
      </c>
      <c r="I16" s="95"/>
      <c r="J16" s="95"/>
      <c r="K16" s="95">
        <f>F16*0.4</f>
        <v>40.6</v>
      </c>
      <c r="L16" s="95">
        <f t="shared" si="18"/>
        <v>27.6</v>
      </c>
      <c r="M16" s="95">
        <f t="shared" si="2"/>
        <v>175.2</v>
      </c>
      <c r="N16" s="111">
        <v>0.41</v>
      </c>
      <c r="O16" s="95">
        <f t="shared" si="3"/>
        <v>71.8</v>
      </c>
      <c r="P16" s="95">
        <f t="shared" si="4"/>
        <v>247</v>
      </c>
      <c r="Q16" s="95">
        <f t="shared" si="5"/>
        <v>197.6</v>
      </c>
      <c r="R16" s="95">
        <f t="shared" si="6"/>
        <v>197.6</v>
      </c>
      <c r="S16" s="95">
        <f t="shared" si="7"/>
        <v>20.6</v>
      </c>
      <c r="T16" s="95">
        <f t="shared" si="8"/>
        <v>662.8</v>
      </c>
      <c r="U16" s="1948"/>
      <c r="V16" s="95">
        <f t="shared" si="9"/>
        <v>662.8</v>
      </c>
      <c r="W16" s="95">
        <f t="shared" si="20"/>
        <v>200.2</v>
      </c>
      <c r="X16" s="103"/>
      <c r="Y16" s="112">
        <v>30</v>
      </c>
      <c r="Z16" s="113">
        <f t="shared" si="10"/>
        <v>0</v>
      </c>
      <c r="AA16" s="127"/>
      <c r="AB16" s="112">
        <v>15</v>
      </c>
      <c r="AC16" s="113">
        <f t="shared" si="11"/>
        <v>0</v>
      </c>
      <c r="AD16" s="127"/>
      <c r="AE16" s="112">
        <v>30</v>
      </c>
      <c r="AF16" s="113">
        <f t="shared" si="12"/>
        <v>0</v>
      </c>
      <c r="AG16" s="113">
        <f t="shared" si="13"/>
        <v>0</v>
      </c>
      <c r="AH16" s="113">
        <f t="shared" si="14"/>
        <v>0</v>
      </c>
      <c r="AI16" s="131">
        <f t="shared" si="15"/>
        <v>55233.33</v>
      </c>
      <c r="AK16" s="114">
        <f t="shared" si="16"/>
        <v>662.8</v>
      </c>
      <c r="AL16" s="114">
        <f t="shared" si="19"/>
        <v>238.1</v>
      </c>
      <c r="AM16" s="115">
        <v>0.30199999999999999</v>
      </c>
      <c r="AN16" s="50"/>
      <c r="AO16" s="50"/>
      <c r="AP16" s="50"/>
      <c r="AQ16" s="50"/>
      <c r="AS16" s="99">
        <f t="shared" si="17"/>
        <v>12.7095</v>
      </c>
    </row>
    <row r="17" spans="1:45" x14ac:dyDescent="0.25">
      <c r="A17" s="103">
        <v>9</v>
      </c>
      <c r="B17" s="261" t="s">
        <v>40</v>
      </c>
      <c r="C17" s="259">
        <v>1</v>
      </c>
      <c r="D17" s="237">
        <v>11.061999999999999</v>
      </c>
      <c r="E17" s="111">
        <f t="shared" si="0"/>
        <v>11.06</v>
      </c>
      <c r="F17" s="95">
        <f t="shared" si="1"/>
        <v>132.69999999999999</v>
      </c>
      <c r="G17" s="95"/>
      <c r="H17" s="95">
        <f>5392.4/1000</f>
        <v>5.4</v>
      </c>
      <c r="I17" s="95"/>
      <c r="J17" s="95"/>
      <c r="K17" s="95"/>
      <c r="L17" s="95">
        <f t="shared" si="18"/>
        <v>36.1</v>
      </c>
      <c r="M17" s="95">
        <f t="shared" si="2"/>
        <v>174.2</v>
      </c>
      <c r="N17" s="111">
        <v>0.43</v>
      </c>
      <c r="O17" s="95">
        <f t="shared" si="3"/>
        <v>74.900000000000006</v>
      </c>
      <c r="P17" s="95">
        <f t="shared" si="4"/>
        <v>249.1</v>
      </c>
      <c r="Q17" s="95">
        <f t="shared" si="5"/>
        <v>199.3</v>
      </c>
      <c r="R17" s="95">
        <f t="shared" si="6"/>
        <v>199.3</v>
      </c>
      <c r="S17" s="95">
        <f t="shared" si="7"/>
        <v>20.7</v>
      </c>
      <c r="T17" s="95">
        <f t="shared" si="8"/>
        <v>668.4</v>
      </c>
      <c r="U17" s="1948"/>
      <c r="V17" s="95">
        <f t="shared" si="9"/>
        <v>668.4</v>
      </c>
      <c r="W17" s="95">
        <f t="shared" si="20"/>
        <v>201.9</v>
      </c>
      <c r="X17" s="103"/>
      <c r="Y17" s="112">
        <v>30</v>
      </c>
      <c r="Z17" s="113">
        <f t="shared" si="10"/>
        <v>0</v>
      </c>
      <c r="AA17" s="127"/>
      <c r="AB17" s="112">
        <v>15</v>
      </c>
      <c r="AC17" s="113">
        <f t="shared" si="11"/>
        <v>0</v>
      </c>
      <c r="AD17" s="127"/>
      <c r="AE17" s="112">
        <v>30</v>
      </c>
      <c r="AF17" s="113">
        <f t="shared" si="12"/>
        <v>0</v>
      </c>
      <c r="AG17" s="113">
        <f t="shared" si="13"/>
        <v>0</v>
      </c>
      <c r="AH17" s="113">
        <f t="shared" si="14"/>
        <v>0</v>
      </c>
      <c r="AI17" s="131">
        <f t="shared" si="15"/>
        <v>55700</v>
      </c>
      <c r="AK17" s="114">
        <f t="shared" si="16"/>
        <v>668.4</v>
      </c>
      <c r="AL17" s="114">
        <f t="shared" si="19"/>
        <v>239.1</v>
      </c>
      <c r="AM17" s="115">
        <v>0.30199999999999999</v>
      </c>
      <c r="AN17" s="50"/>
      <c r="AO17" s="50"/>
      <c r="AP17" s="50"/>
      <c r="AQ17" s="50"/>
      <c r="AS17" s="99">
        <f t="shared" si="17"/>
        <v>16.593</v>
      </c>
    </row>
    <row r="18" spans="1:45" x14ac:dyDescent="0.25">
      <c r="A18" s="103">
        <v>10</v>
      </c>
      <c r="B18" s="261" t="s">
        <v>29</v>
      </c>
      <c r="C18" s="259">
        <v>2</v>
      </c>
      <c r="D18" s="237">
        <v>8.4730000000000008</v>
      </c>
      <c r="E18" s="111">
        <f t="shared" si="0"/>
        <v>16.95</v>
      </c>
      <c r="F18" s="95">
        <f t="shared" si="1"/>
        <v>203.4</v>
      </c>
      <c r="G18" s="95"/>
      <c r="H18" s="95">
        <f>2065.2/1000</f>
        <v>2.1</v>
      </c>
      <c r="I18" s="95"/>
      <c r="J18" s="95"/>
      <c r="K18" s="95">
        <f>(D18*0.25+D18*0.3)*12</f>
        <v>55.9</v>
      </c>
      <c r="L18" s="95">
        <f t="shared" si="18"/>
        <v>55.3</v>
      </c>
      <c r="M18" s="95">
        <f t="shared" si="2"/>
        <v>316.7</v>
      </c>
      <c r="N18" s="111">
        <v>0.41</v>
      </c>
      <c r="O18" s="95">
        <f t="shared" si="3"/>
        <v>129.80000000000001</v>
      </c>
      <c r="P18" s="95">
        <f t="shared" si="4"/>
        <v>446.5</v>
      </c>
      <c r="Q18" s="95">
        <f t="shared" si="5"/>
        <v>357.2</v>
      </c>
      <c r="R18" s="95">
        <f t="shared" si="6"/>
        <v>357.2</v>
      </c>
      <c r="S18" s="95">
        <f t="shared" si="7"/>
        <v>37.1</v>
      </c>
      <c r="T18" s="95">
        <f t="shared" si="8"/>
        <v>1198</v>
      </c>
      <c r="U18" s="1948"/>
      <c r="V18" s="95">
        <f t="shared" si="9"/>
        <v>1198</v>
      </c>
      <c r="W18" s="95">
        <f t="shared" si="20"/>
        <v>361.8</v>
      </c>
      <c r="X18" s="103"/>
      <c r="Y18" s="112">
        <v>30</v>
      </c>
      <c r="Z18" s="113">
        <f t="shared" si="10"/>
        <v>0</v>
      </c>
      <c r="AA18" s="127"/>
      <c r="AB18" s="112">
        <v>15</v>
      </c>
      <c r="AC18" s="113">
        <f t="shared" si="11"/>
        <v>0</v>
      </c>
      <c r="AD18" s="127"/>
      <c r="AE18" s="112">
        <v>30</v>
      </c>
      <c r="AF18" s="113">
        <f t="shared" si="12"/>
        <v>0</v>
      </c>
      <c r="AG18" s="113">
        <f t="shared" si="13"/>
        <v>0</v>
      </c>
      <c r="AH18" s="113">
        <f t="shared" si="14"/>
        <v>0</v>
      </c>
      <c r="AI18" s="131">
        <f t="shared" si="15"/>
        <v>49916.67</v>
      </c>
      <c r="AK18" s="114">
        <f t="shared" si="16"/>
        <v>599</v>
      </c>
      <c r="AL18" s="114">
        <f t="shared" si="19"/>
        <v>226.5</v>
      </c>
      <c r="AM18" s="115">
        <v>0.30199999999999999</v>
      </c>
      <c r="AN18" s="263"/>
      <c r="AO18" s="263"/>
      <c r="AP18" s="263"/>
      <c r="AS18" s="99">
        <f t="shared" si="17"/>
        <v>12.7095</v>
      </c>
    </row>
    <row r="19" spans="1:45" x14ac:dyDescent="0.25">
      <c r="A19" s="103">
        <v>11</v>
      </c>
      <c r="B19" s="261" t="s">
        <v>58</v>
      </c>
      <c r="C19" s="259">
        <v>1</v>
      </c>
      <c r="D19" s="237">
        <v>11.061999999999999</v>
      </c>
      <c r="E19" s="111">
        <f t="shared" si="0"/>
        <v>11.06</v>
      </c>
      <c r="F19" s="95">
        <f t="shared" si="1"/>
        <v>132.69999999999999</v>
      </c>
      <c r="G19" s="95"/>
      <c r="H19" s="95">
        <f>5392.4/1000</f>
        <v>5.4</v>
      </c>
      <c r="I19" s="95"/>
      <c r="J19" s="95"/>
      <c r="K19" s="95">
        <f>F19*0.4</f>
        <v>53.1</v>
      </c>
      <c r="L19" s="95">
        <f t="shared" si="18"/>
        <v>36.1</v>
      </c>
      <c r="M19" s="95">
        <f t="shared" si="2"/>
        <v>227.3</v>
      </c>
      <c r="N19" s="111">
        <v>0.43</v>
      </c>
      <c r="O19" s="95">
        <f t="shared" si="3"/>
        <v>97.7</v>
      </c>
      <c r="P19" s="95">
        <f t="shared" si="4"/>
        <v>325</v>
      </c>
      <c r="Q19" s="95">
        <f t="shared" si="5"/>
        <v>260</v>
      </c>
      <c r="R19" s="95">
        <f t="shared" si="6"/>
        <v>260</v>
      </c>
      <c r="S19" s="95">
        <f t="shared" si="7"/>
        <v>27</v>
      </c>
      <c r="T19" s="95">
        <f t="shared" si="8"/>
        <v>872</v>
      </c>
      <c r="U19" s="1948"/>
      <c r="V19" s="95">
        <f t="shared" si="9"/>
        <v>872</v>
      </c>
      <c r="W19" s="95">
        <f t="shared" si="20"/>
        <v>263.3</v>
      </c>
      <c r="X19" s="103"/>
      <c r="Y19" s="112">
        <v>30</v>
      </c>
      <c r="Z19" s="113">
        <f t="shared" si="10"/>
        <v>0</v>
      </c>
      <c r="AA19" s="127"/>
      <c r="AB19" s="112">
        <v>15</v>
      </c>
      <c r="AC19" s="113">
        <f t="shared" si="11"/>
        <v>0</v>
      </c>
      <c r="AD19" s="127"/>
      <c r="AE19" s="112">
        <v>30</v>
      </c>
      <c r="AF19" s="113">
        <f t="shared" si="12"/>
        <v>0</v>
      </c>
      <c r="AG19" s="113">
        <f t="shared" si="13"/>
        <v>0</v>
      </c>
      <c r="AH19" s="113">
        <f t="shared" si="14"/>
        <v>0</v>
      </c>
      <c r="AI19" s="131">
        <f t="shared" si="15"/>
        <v>72666.67</v>
      </c>
      <c r="AK19" s="114">
        <f t="shared" si="16"/>
        <v>872</v>
      </c>
      <c r="AL19" s="114">
        <f t="shared" si="19"/>
        <v>276.2</v>
      </c>
      <c r="AM19" s="115">
        <v>0.30199999999999999</v>
      </c>
      <c r="AN19" s="50"/>
      <c r="AO19" s="50"/>
      <c r="AP19" s="50"/>
      <c r="AQ19" s="50"/>
      <c r="AS19" s="99">
        <f t="shared" si="17"/>
        <v>16.593</v>
      </c>
    </row>
    <row r="20" spans="1:45" x14ac:dyDescent="0.25">
      <c r="A20" s="103">
        <v>12</v>
      </c>
      <c r="B20" s="236" t="s">
        <v>42</v>
      </c>
      <c r="C20" s="259">
        <v>1</v>
      </c>
      <c r="D20" s="237">
        <v>11.061999999999999</v>
      </c>
      <c r="E20" s="111">
        <f t="shared" si="0"/>
        <v>11.06</v>
      </c>
      <c r="F20" s="95">
        <f t="shared" si="1"/>
        <v>132.69999999999999</v>
      </c>
      <c r="G20" s="95"/>
      <c r="H20" s="95">
        <v>7.8</v>
      </c>
      <c r="I20" s="95"/>
      <c r="J20" s="95"/>
      <c r="K20" s="95">
        <f>F20*0.2</f>
        <v>26.5</v>
      </c>
      <c r="L20" s="95">
        <f t="shared" si="18"/>
        <v>36.1</v>
      </c>
      <c r="M20" s="95">
        <f t="shared" si="2"/>
        <v>203.1</v>
      </c>
      <c r="N20" s="111">
        <v>0.43</v>
      </c>
      <c r="O20" s="95">
        <f t="shared" si="3"/>
        <v>87.3</v>
      </c>
      <c r="P20" s="95">
        <f t="shared" si="4"/>
        <v>290.39999999999998</v>
      </c>
      <c r="Q20" s="95">
        <f t="shared" si="5"/>
        <v>232.3</v>
      </c>
      <c r="R20" s="95">
        <f t="shared" si="6"/>
        <v>232.3</v>
      </c>
      <c r="S20" s="95">
        <f t="shared" si="7"/>
        <v>24.2</v>
      </c>
      <c r="T20" s="95">
        <f t="shared" si="8"/>
        <v>779.2</v>
      </c>
      <c r="U20" s="1948"/>
      <c r="V20" s="95">
        <f t="shared" si="9"/>
        <v>779.2</v>
      </c>
      <c r="W20" s="95">
        <f t="shared" si="20"/>
        <v>235.3</v>
      </c>
      <c r="X20" s="103"/>
      <c r="Y20" s="112">
        <v>30</v>
      </c>
      <c r="Z20" s="113">
        <f t="shared" si="10"/>
        <v>0</v>
      </c>
      <c r="AA20" s="127"/>
      <c r="AB20" s="112">
        <v>15</v>
      </c>
      <c r="AC20" s="113">
        <f t="shared" si="11"/>
        <v>0</v>
      </c>
      <c r="AD20" s="127"/>
      <c r="AE20" s="112">
        <v>30</v>
      </c>
      <c r="AF20" s="113">
        <f t="shared" si="12"/>
        <v>0</v>
      </c>
      <c r="AG20" s="113">
        <f t="shared" si="13"/>
        <v>0</v>
      </c>
      <c r="AH20" s="113">
        <f t="shared" si="14"/>
        <v>0</v>
      </c>
      <c r="AI20" s="131">
        <f t="shared" si="15"/>
        <v>64933.33</v>
      </c>
      <c r="AK20" s="114">
        <f t="shared" si="16"/>
        <v>779.2</v>
      </c>
      <c r="AL20" s="114">
        <f t="shared" si="19"/>
        <v>259.3</v>
      </c>
      <c r="AM20" s="115">
        <v>0.30199999999999999</v>
      </c>
      <c r="AN20" s="50"/>
      <c r="AO20" s="50"/>
      <c r="AP20" s="50"/>
      <c r="AQ20" s="50"/>
      <c r="AS20" s="99">
        <f t="shared" si="17"/>
        <v>16.593</v>
      </c>
    </row>
    <row r="21" spans="1:45" s="22" customFormat="1" ht="26.4" x14ac:dyDescent="0.25">
      <c r="A21" s="274">
        <v>13</v>
      </c>
      <c r="B21" s="52" t="s">
        <v>132</v>
      </c>
      <c r="C21" s="167">
        <v>1</v>
      </c>
      <c r="D21" s="177">
        <v>8.4730000000000008</v>
      </c>
      <c r="E21" s="171">
        <f>C21*D21</f>
        <v>8.4700000000000006</v>
      </c>
      <c r="F21" s="154">
        <f>E21*12</f>
        <v>101.6</v>
      </c>
      <c r="G21" s="154"/>
      <c r="H21" s="154">
        <f>4130.4/1000</f>
        <v>4.0999999999999996</v>
      </c>
      <c r="I21" s="154"/>
      <c r="J21" s="154"/>
      <c r="K21" s="154"/>
      <c r="L21" s="154">
        <f>F21*$L$4</f>
        <v>27.6</v>
      </c>
      <c r="M21" s="154">
        <f>F21+G21+H21+I21+J21+K21+L21</f>
        <v>133.30000000000001</v>
      </c>
      <c r="N21" s="171">
        <v>0.47</v>
      </c>
      <c r="O21" s="154">
        <f>M21*N21</f>
        <v>62.7</v>
      </c>
      <c r="P21" s="154">
        <f>M21+O21</f>
        <v>196</v>
      </c>
      <c r="Q21" s="154">
        <f>P21*0.8</f>
        <v>156.80000000000001</v>
      </c>
      <c r="R21" s="154">
        <f>P21*0.8</f>
        <v>156.80000000000001</v>
      </c>
      <c r="S21" s="154">
        <f>(P21+Q21+R21)*0.032</f>
        <v>16.3</v>
      </c>
      <c r="T21" s="154">
        <f>P21+Q21+R21+S21</f>
        <v>525.9</v>
      </c>
      <c r="U21" s="1948"/>
      <c r="V21" s="154">
        <f>T21*$U$9</f>
        <v>525.9</v>
      </c>
      <c r="W21" s="95">
        <f t="shared" si="20"/>
        <v>158.80000000000001</v>
      </c>
      <c r="X21" s="40"/>
      <c r="Y21" s="24">
        <v>30</v>
      </c>
      <c r="Z21" s="48">
        <f>X21*Y21</f>
        <v>0</v>
      </c>
      <c r="AA21" s="54"/>
      <c r="AB21" s="24">
        <v>15</v>
      </c>
      <c r="AC21" s="48">
        <f>AA21*AB21</f>
        <v>0</v>
      </c>
      <c r="AD21" s="54"/>
      <c r="AE21" s="24">
        <v>30</v>
      </c>
      <c r="AF21" s="48">
        <f>AD21*AE21</f>
        <v>0</v>
      </c>
      <c r="AG21" s="48">
        <f>(Z21+AC21+AF21)*1%*30</f>
        <v>0</v>
      </c>
      <c r="AH21" s="48">
        <f>Z21+AC21+AF21+AG21</f>
        <v>0</v>
      </c>
      <c r="AI21" s="39">
        <f t="shared" si="15"/>
        <v>43825</v>
      </c>
      <c r="AK21" s="34">
        <f t="shared" si="16"/>
        <v>525.9</v>
      </c>
      <c r="AL21" s="34">
        <f>((979*0.302)+((AK21-979)*0.182))</f>
        <v>213.2</v>
      </c>
      <c r="AM21" s="51">
        <v>0.30199999999999999</v>
      </c>
      <c r="AN21" s="211"/>
      <c r="AO21" s="211"/>
      <c r="AP21" s="211"/>
      <c r="AQ21" s="211"/>
      <c r="AS21" s="22">
        <f t="shared" si="17"/>
        <v>12.7095</v>
      </c>
    </row>
    <row r="22" spans="1:45" x14ac:dyDescent="0.25">
      <c r="A22" s="103">
        <v>14</v>
      </c>
      <c r="B22" s="261" t="s">
        <v>44</v>
      </c>
      <c r="C22" s="259">
        <v>1</v>
      </c>
      <c r="D22" s="237">
        <v>11.061999999999999</v>
      </c>
      <c r="E22" s="111">
        <f t="shared" si="0"/>
        <v>11.06</v>
      </c>
      <c r="F22" s="95">
        <f t="shared" si="1"/>
        <v>132.69999999999999</v>
      </c>
      <c r="G22" s="95"/>
      <c r="H22" s="95">
        <v>7</v>
      </c>
      <c r="I22" s="95"/>
      <c r="J22" s="95"/>
      <c r="K22" s="95">
        <f>F22*0.4</f>
        <v>53.1</v>
      </c>
      <c r="L22" s="95">
        <f t="shared" si="18"/>
        <v>36.1</v>
      </c>
      <c r="M22" s="95">
        <f t="shared" si="2"/>
        <v>228.9</v>
      </c>
      <c r="N22" s="111">
        <v>0.43</v>
      </c>
      <c r="O22" s="95">
        <f t="shared" si="3"/>
        <v>98.4</v>
      </c>
      <c r="P22" s="95">
        <f t="shared" si="4"/>
        <v>327.3</v>
      </c>
      <c r="Q22" s="95">
        <f t="shared" si="5"/>
        <v>261.8</v>
      </c>
      <c r="R22" s="95">
        <f t="shared" si="6"/>
        <v>261.8</v>
      </c>
      <c r="S22" s="95">
        <f t="shared" si="7"/>
        <v>27.2</v>
      </c>
      <c r="T22" s="95">
        <f t="shared" si="8"/>
        <v>878.1</v>
      </c>
      <c r="U22" s="1948"/>
      <c r="V22" s="95">
        <f t="shared" si="9"/>
        <v>878.1</v>
      </c>
      <c r="W22" s="95">
        <f t="shared" si="20"/>
        <v>265.2</v>
      </c>
      <c r="X22" s="103">
        <v>1</v>
      </c>
      <c r="Y22" s="112">
        <v>30</v>
      </c>
      <c r="Z22" s="113">
        <f t="shared" si="10"/>
        <v>30</v>
      </c>
      <c r="AA22" s="127">
        <v>1</v>
      </c>
      <c r="AB22" s="112">
        <v>15</v>
      </c>
      <c r="AC22" s="113">
        <f t="shared" si="11"/>
        <v>15</v>
      </c>
      <c r="AD22" s="127"/>
      <c r="AE22" s="112">
        <v>30</v>
      </c>
      <c r="AF22" s="113">
        <f t="shared" si="12"/>
        <v>0</v>
      </c>
      <c r="AG22" s="113">
        <f t="shared" si="13"/>
        <v>13.5</v>
      </c>
      <c r="AH22" s="113">
        <f t="shared" si="14"/>
        <v>58.5</v>
      </c>
      <c r="AI22" s="131">
        <f t="shared" si="15"/>
        <v>73175</v>
      </c>
      <c r="AK22" s="114">
        <f t="shared" si="16"/>
        <v>878.1</v>
      </c>
      <c r="AL22" s="114">
        <f t="shared" si="19"/>
        <v>277.3</v>
      </c>
      <c r="AM22" s="115">
        <v>0.30199999999999999</v>
      </c>
      <c r="AN22" s="50"/>
      <c r="AO22" s="50"/>
      <c r="AP22" s="50"/>
      <c r="AQ22" s="50"/>
      <c r="AS22" s="99">
        <f t="shared" si="17"/>
        <v>16.593</v>
      </c>
    </row>
    <row r="23" spans="1:45" x14ac:dyDescent="0.25">
      <c r="A23" s="103">
        <v>15</v>
      </c>
      <c r="B23" s="236" t="s">
        <v>33</v>
      </c>
      <c r="C23" s="174">
        <v>1</v>
      </c>
      <c r="D23" s="237">
        <v>8.4730000000000008</v>
      </c>
      <c r="E23" s="111">
        <f t="shared" si="0"/>
        <v>8.4700000000000006</v>
      </c>
      <c r="F23" s="95">
        <f t="shared" si="1"/>
        <v>101.6</v>
      </c>
      <c r="G23" s="95">
        <f>4015.6/1000</f>
        <v>4</v>
      </c>
      <c r="H23" s="95">
        <f>5782.5/1000</f>
        <v>5.8</v>
      </c>
      <c r="I23" s="95"/>
      <c r="J23" s="95"/>
      <c r="K23" s="95">
        <f>D23*0.2*7.6+D23*0.25*4.4</f>
        <v>22.2</v>
      </c>
      <c r="L23" s="95">
        <f t="shared" si="18"/>
        <v>27.6</v>
      </c>
      <c r="M23" s="95">
        <f t="shared" si="2"/>
        <v>161.19999999999999</v>
      </c>
      <c r="N23" s="111">
        <v>0.41</v>
      </c>
      <c r="O23" s="95">
        <f t="shared" si="3"/>
        <v>66.099999999999994</v>
      </c>
      <c r="P23" s="95">
        <f t="shared" si="4"/>
        <v>227.3</v>
      </c>
      <c r="Q23" s="95">
        <f t="shared" si="5"/>
        <v>181.8</v>
      </c>
      <c r="R23" s="95">
        <f t="shared" si="6"/>
        <v>181.8</v>
      </c>
      <c r="S23" s="95">
        <f t="shared" si="7"/>
        <v>18.899999999999999</v>
      </c>
      <c r="T23" s="95">
        <f t="shared" si="8"/>
        <v>609.79999999999995</v>
      </c>
      <c r="U23" s="1948"/>
      <c r="V23" s="95">
        <f t="shared" si="9"/>
        <v>609.79999999999995</v>
      </c>
      <c r="W23" s="95">
        <f t="shared" si="20"/>
        <v>184.2</v>
      </c>
      <c r="X23" s="238">
        <v>1</v>
      </c>
      <c r="Y23" s="240">
        <v>30</v>
      </c>
      <c r="Z23" s="241">
        <f t="shared" si="10"/>
        <v>30</v>
      </c>
      <c r="AA23" s="238"/>
      <c r="AB23" s="240">
        <v>15</v>
      </c>
      <c r="AC23" s="241">
        <f t="shared" si="11"/>
        <v>0</v>
      </c>
      <c r="AD23" s="238">
        <v>1</v>
      </c>
      <c r="AE23" s="240">
        <v>30</v>
      </c>
      <c r="AF23" s="241">
        <f t="shared" si="12"/>
        <v>30</v>
      </c>
      <c r="AG23" s="241">
        <f t="shared" si="13"/>
        <v>18</v>
      </c>
      <c r="AH23" s="241">
        <f t="shared" si="14"/>
        <v>78</v>
      </c>
      <c r="AI23" s="131">
        <f t="shared" si="15"/>
        <v>50816.67</v>
      </c>
      <c r="AK23" s="114">
        <f t="shared" si="16"/>
        <v>609.79999999999995</v>
      </c>
      <c r="AL23" s="114">
        <f t="shared" si="19"/>
        <v>228.5</v>
      </c>
      <c r="AM23" s="115">
        <v>0.30199999999999999</v>
      </c>
      <c r="AN23" s="263"/>
      <c r="AO23" s="263"/>
      <c r="AP23" s="263"/>
      <c r="AS23" s="99">
        <f t="shared" si="17"/>
        <v>12.7095</v>
      </c>
    </row>
    <row r="24" spans="1:45" x14ac:dyDescent="0.25">
      <c r="A24" s="103">
        <v>16</v>
      </c>
      <c r="B24" s="236" t="s">
        <v>102</v>
      </c>
      <c r="C24" s="174">
        <v>0.5</v>
      </c>
      <c r="D24" s="237">
        <v>4.3769999999999998</v>
      </c>
      <c r="E24" s="111">
        <f t="shared" si="0"/>
        <v>2.19</v>
      </c>
      <c r="F24" s="95">
        <f t="shared" si="1"/>
        <v>26.3</v>
      </c>
      <c r="G24" s="95"/>
      <c r="H24" s="95"/>
      <c r="I24" s="95"/>
      <c r="J24" s="95"/>
      <c r="K24" s="95"/>
      <c r="L24" s="95">
        <f t="shared" si="18"/>
        <v>7.2</v>
      </c>
      <c r="M24" s="95">
        <f>F24+G24+H24+I24+J24+K24+L24</f>
        <v>33.5</v>
      </c>
      <c r="N24" s="111">
        <v>0.49</v>
      </c>
      <c r="O24" s="95">
        <f>M24*N24</f>
        <v>16.399999999999999</v>
      </c>
      <c r="P24" s="95">
        <f>M24+O24</f>
        <v>49.9</v>
      </c>
      <c r="Q24" s="95">
        <f>P24*0.8</f>
        <v>39.9</v>
      </c>
      <c r="R24" s="95">
        <f>P24*0.8</f>
        <v>39.9</v>
      </c>
      <c r="S24" s="95">
        <f>(P24+Q24+R24)*0.032</f>
        <v>4.2</v>
      </c>
      <c r="T24" s="95">
        <f>P24+Q24+R24+S24</f>
        <v>133.9</v>
      </c>
      <c r="U24" s="1948"/>
      <c r="V24" s="95">
        <f>T24*$U$9</f>
        <v>133.9</v>
      </c>
      <c r="W24" s="95">
        <f t="shared" si="20"/>
        <v>40.4</v>
      </c>
      <c r="X24" s="238"/>
      <c r="Y24" s="240"/>
      <c r="Z24" s="241"/>
      <c r="AA24" s="238"/>
      <c r="AB24" s="240"/>
      <c r="AC24" s="241"/>
      <c r="AD24" s="238"/>
      <c r="AE24" s="240"/>
      <c r="AF24" s="241"/>
      <c r="AG24" s="241"/>
      <c r="AH24" s="241"/>
      <c r="AI24" s="131"/>
      <c r="AK24" s="114"/>
      <c r="AL24" s="114"/>
      <c r="AM24" s="115"/>
      <c r="AN24" s="263"/>
      <c r="AO24" s="263"/>
      <c r="AP24" s="263"/>
      <c r="AS24" s="99">
        <f t="shared" si="17"/>
        <v>6.5655000000000001</v>
      </c>
    </row>
    <row r="25" spans="1:45" x14ac:dyDescent="0.25">
      <c r="A25" s="103">
        <v>17</v>
      </c>
      <c r="B25" s="236" t="s">
        <v>136</v>
      </c>
      <c r="C25" s="174">
        <v>0.5</v>
      </c>
      <c r="D25" s="237">
        <v>4.3769999999999998</v>
      </c>
      <c r="E25" s="111">
        <f t="shared" si="0"/>
        <v>2.19</v>
      </c>
      <c r="F25" s="95">
        <f t="shared" si="1"/>
        <v>26.3</v>
      </c>
      <c r="G25" s="95"/>
      <c r="H25" s="95"/>
      <c r="I25" s="95"/>
      <c r="J25" s="95"/>
      <c r="K25" s="95"/>
      <c r="L25" s="95">
        <f t="shared" si="18"/>
        <v>7.2</v>
      </c>
      <c r="M25" s="95">
        <f>F25+G25+H25+I25+J25+K25+L25</f>
        <v>33.5</v>
      </c>
      <c r="N25" s="111">
        <v>0.49</v>
      </c>
      <c r="O25" s="95">
        <f>M25*N25</f>
        <v>16.399999999999999</v>
      </c>
      <c r="P25" s="95">
        <f>M25+O25</f>
        <v>49.9</v>
      </c>
      <c r="Q25" s="95">
        <f>P25*0.8</f>
        <v>39.9</v>
      </c>
      <c r="R25" s="95">
        <f>P25*0.8</f>
        <v>39.9</v>
      </c>
      <c r="S25" s="95">
        <f>(P25+Q25+R25)*0.032</f>
        <v>4.2</v>
      </c>
      <c r="T25" s="95">
        <f>P25+Q25+R25+S25</f>
        <v>133.9</v>
      </c>
      <c r="U25" s="1948"/>
      <c r="V25" s="95">
        <f>T25*$U$9</f>
        <v>133.9</v>
      </c>
      <c r="W25" s="95">
        <f t="shared" si="20"/>
        <v>40.4</v>
      </c>
      <c r="X25" s="238"/>
      <c r="Y25" s="240"/>
      <c r="Z25" s="241"/>
      <c r="AA25" s="238"/>
      <c r="AB25" s="240"/>
      <c r="AC25" s="241"/>
      <c r="AD25" s="238"/>
      <c r="AE25" s="240"/>
      <c r="AF25" s="241"/>
      <c r="AG25" s="241"/>
      <c r="AH25" s="241"/>
      <c r="AI25" s="131"/>
      <c r="AK25" s="114"/>
      <c r="AL25" s="114"/>
      <c r="AM25" s="115"/>
      <c r="AN25" s="263"/>
      <c r="AO25" s="263"/>
      <c r="AP25" s="263"/>
      <c r="AS25" s="99">
        <f t="shared" si="17"/>
        <v>6.5655000000000001</v>
      </c>
    </row>
    <row r="26" spans="1:45" s="245" customFormat="1" x14ac:dyDescent="0.25">
      <c r="A26" s="103">
        <v>18</v>
      </c>
      <c r="B26" s="236" t="s">
        <v>60</v>
      </c>
      <c r="C26" s="262">
        <v>2</v>
      </c>
      <c r="D26" s="247">
        <v>4.3769999999999998</v>
      </c>
      <c r="E26" s="249">
        <f t="shared" si="0"/>
        <v>8.75</v>
      </c>
      <c r="F26" s="248">
        <f t="shared" si="1"/>
        <v>105</v>
      </c>
      <c r="G26" s="248">
        <f>12446.4/1000</f>
        <v>12.4</v>
      </c>
      <c r="H26" s="248">
        <f>5974.3/1000</f>
        <v>6</v>
      </c>
      <c r="I26" s="248"/>
      <c r="J26" s="248"/>
      <c r="K26" s="248"/>
      <c r="L26" s="95">
        <v>59</v>
      </c>
      <c r="M26" s="248">
        <f t="shared" si="2"/>
        <v>182.4</v>
      </c>
      <c r="N26" s="111">
        <v>0.49</v>
      </c>
      <c r="O26" s="248">
        <f t="shared" si="3"/>
        <v>89.4</v>
      </c>
      <c r="P26" s="248">
        <f t="shared" si="4"/>
        <v>271.8</v>
      </c>
      <c r="Q26" s="248">
        <f t="shared" si="5"/>
        <v>217.4</v>
      </c>
      <c r="R26" s="248">
        <f t="shared" si="6"/>
        <v>217.4</v>
      </c>
      <c r="S26" s="248">
        <f t="shared" si="7"/>
        <v>22.6</v>
      </c>
      <c r="T26" s="248">
        <f t="shared" si="8"/>
        <v>729.2</v>
      </c>
      <c r="U26" s="1948"/>
      <c r="V26" s="248">
        <f t="shared" si="9"/>
        <v>729.2</v>
      </c>
      <c r="W26" s="95">
        <f t="shared" si="20"/>
        <v>220.2</v>
      </c>
      <c r="X26" s="246">
        <v>1</v>
      </c>
      <c r="Y26" s="240">
        <v>30</v>
      </c>
      <c r="Z26" s="241">
        <f t="shared" si="10"/>
        <v>30</v>
      </c>
      <c r="AA26" s="246"/>
      <c r="AB26" s="240">
        <v>15</v>
      </c>
      <c r="AC26" s="241">
        <f t="shared" si="11"/>
        <v>0</v>
      </c>
      <c r="AD26" s="246"/>
      <c r="AE26" s="240">
        <v>30</v>
      </c>
      <c r="AF26" s="241">
        <f t="shared" si="12"/>
        <v>0</v>
      </c>
      <c r="AG26" s="241">
        <f t="shared" si="13"/>
        <v>9</v>
      </c>
      <c r="AH26" s="241">
        <f t="shared" si="14"/>
        <v>39</v>
      </c>
      <c r="AI26" s="131">
        <f>V26/12/C26*1000</f>
        <v>30383.33</v>
      </c>
      <c r="AK26" s="114">
        <f>V26/C26</f>
        <v>364.6</v>
      </c>
      <c r="AL26" s="114">
        <f t="shared" si="19"/>
        <v>183.8</v>
      </c>
      <c r="AM26" s="115">
        <v>0.30199999999999999</v>
      </c>
      <c r="AN26" s="211"/>
      <c r="AO26" s="211"/>
      <c r="AP26" s="211"/>
      <c r="AQ26" s="211"/>
      <c r="AS26" s="99">
        <f t="shared" si="17"/>
        <v>6.5655000000000001</v>
      </c>
    </row>
    <row r="27" spans="1:45" x14ac:dyDescent="0.25">
      <c r="A27" s="103">
        <v>19</v>
      </c>
      <c r="B27" s="261" t="s">
        <v>94</v>
      </c>
      <c r="C27" s="264">
        <v>2</v>
      </c>
      <c r="D27" s="237">
        <v>4.3769999999999998</v>
      </c>
      <c r="E27" s="111">
        <f t="shared" si="0"/>
        <v>8.75</v>
      </c>
      <c r="F27" s="95">
        <f t="shared" si="1"/>
        <v>105</v>
      </c>
      <c r="G27" s="95">
        <f>2074.4/1000</f>
        <v>2.1</v>
      </c>
      <c r="H27" s="95">
        <f>5.974</f>
        <v>6</v>
      </c>
      <c r="I27" s="95"/>
      <c r="J27" s="95"/>
      <c r="K27" s="95"/>
      <c r="L27" s="95">
        <v>70.8</v>
      </c>
      <c r="M27" s="95">
        <f t="shared" si="2"/>
        <v>183.9</v>
      </c>
      <c r="N27" s="111">
        <v>0.47</v>
      </c>
      <c r="O27" s="95">
        <f t="shared" si="3"/>
        <v>86.4</v>
      </c>
      <c r="P27" s="95">
        <f t="shared" si="4"/>
        <v>270.3</v>
      </c>
      <c r="Q27" s="95">
        <f t="shared" si="5"/>
        <v>216.2</v>
      </c>
      <c r="R27" s="95">
        <f t="shared" si="6"/>
        <v>216.2</v>
      </c>
      <c r="S27" s="95">
        <f t="shared" si="7"/>
        <v>22.5</v>
      </c>
      <c r="T27" s="95">
        <f t="shared" si="8"/>
        <v>725.2</v>
      </c>
      <c r="U27" s="1948"/>
      <c r="V27" s="95">
        <f>T27*$U$9+0.1</f>
        <v>725.3</v>
      </c>
      <c r="W27" s="95">
        <f t="shared" si="20"/>
        <v>219</v>
      </c>
      <c r="X27" s="103">
        <v>1</v>
      </c>
      <c r="Y27" s="112">
        <v>30</v>
      </c>
      <c r="Z27" s="113">
        <f t="shared" si="10"/>
        <v>30</v>
      </c>
      <c r="AA27" s="103"/>
      <c r="AB27" s="112">
        <v>15</v>
      </c>
      <c r="AC27" s="113">
        <f t="shared" si="11"/>
        <v>0</v>
      </c>
      <c r="AD27" s="103"/>
      <c r="AE27" s="112">
        <v>30</v>
      </c>
      <c r="AF27" s="113">
        <f t="shared" si="12"/>
        <v>0</v>
      </c>
      <c r="AG27" s="113">
        <f t="shared" si="13"/>
        <v>9</v>
      </c>
      <c r="AH27" s="113">
        <f t="shared" si="14"/>
        <v>39</v>
      </c>
      <c r="AI27" s="131">
        <f>V27/12/C27*1000</f>
        <v>30220.83</v>
      </c>
      <c r="AK27" s="114">
        <f>V27/C27</f>
        <v>362.7</v>
      </c>
      <c r="AL27" s="114">
        <f t="shared" si="19"/>
        <v>183.5</v>
      </c>
      <c r="AM27" s="115">
        <v>0.30199999999999999</v>
      </c>
      <c r="AS27" s="99">
        <f t="shared" si="17"/>
        <v>6.5655000000000001</v>
      </c>
    </row>
    <row r="28" spans="1:45" s="98" customFormat="1" ht="20.25" customHeight="1" x14ac:dyDescent="0.25">
      <c r="A28" s="1950" t="s">
        <v>8</v>
      </c>
      <c r="B28" s="1950"/>
      <c r="C28" s="265">
        <f>SUM(C9:C27)</f>
        <v>25</v>
      </c>
      <c r="D28" s="266">
        <f t="shared" ref="D28:T28" si="21">SUM(D9:D27)</f>
        <v>187.6</v>
      </c>
      <c r="E28" s="266">
        <f t="shared" si="21"/>
        <v>251.7</v>
      </c>
      <c r="F28" s="266">
        <f t="shared" si="21"/>
        <v>3020.1</v>
      </c>
      <c r="G28" s="266">
        <f t="shared" si="21"/>
        <v>18.5</v>
      </c>
      <c r="H28" s="266">
        <f t="shared" si="21"/>
        <v>110.7</v>
      </c>
      <c r="I28" s="266">
        <f t="shared" si="21"/>
        <v>0</v>
      </c>
      <c r="J28" s="266">
        <f t="shared" si="21"/>
        <v>0</v>
      </c>
      <c r="K28" s="266">
        <f t="shared" si="21"/>
        <v>703.9</v>
      </c>
      <c r="L28" s="266">
        <f t="shared" si="21"/>
        <v>894.2</v>
      </c>
      <c r="M28" s="266">
        <f t="shared" si="21"/>
        <v>4747.3999999999996</v>
      </c>
      <c r="N28" s="266">
        <f t="shared" si="21"/>
        <v>8.5</v>
      </c>
      <c r="O28" s="266">
        <f t="shared" si="21"/>
        <v>2108</v>
      </c>
      <c r="P28" s="266">
        <f t="shared" si="21"/>
        <v>6855.4</v>
      </c>
      <c r="Q28" s="266">
        <f t="shared" si="21"/>
        <v>5484.1</v>
      </c>
      <c r="R28" s="266">
        <f t="shared" si="21"/>
        <v>5484.1</v>
      </c>
      <c r="S28" s="266">
        <f t="shared" si="21"/>
        <v>570.29999999999995</v>
      </c>
      <c r="T28" s="266">
        <f t="shared" si="21"/>
        <v>18393.900000000001</v>
      </c>
      <c r="U28" s="266"/>
      <c r="V28" s="266">
        <f t="shared" ref="V28:AH28" si="22">SUM(V9:V27)</f>
        <v>18394</v>
      </c>
      <c r="W28" s="266">
        <f>SUM(W9:W27)</f>
        <v>5400.8</v>
      </c>
      <c r="X28" s="266">
        <f t="shared" si="22"/>
        <v>8</v>
      </c>
      <c r="Y28" s="266">
        <f t="shared" si="22"/>
        <v>510</v>
      </c>
      <c r="Z28" s="266">
        <f t="shared" si="22"/>
        <v>240</v>
      </c>
      <c r="AA28" s="266">
        <f t="shared" si="22"/>
        <v>1</v>
      </c>
      <c r="AB28" s="266">
        <f t="shared" si="22"/>
        <v>255</v>
      </c>
      <c r="AC28" s="266">
        <f t="shared" si="22"/>
        <v>15</v>
      </c>
      <c r="AD28" s="266">
        <f t="shared" si="22"/>
        <v>3</v>
      </c>
      <c r="AE28" s="266">
        <f t="shared" si="22"/>
        <v>510</v>
      </c>
      <c r="AF28" s="266">
        <f t="shared" si="22"/>
        <v>90</v>
      </c>
      <c r="AG28" s="266">
        <f t="shared" si="22"/>
        <v>103.5</v>
      </c>
      <c r="AH28" s="266">
        <f t="shared" si="22"/>
        <v>448.5</v>
      </c>
      <c r="AI28" s="131"/>
      <c r="AK28" s="114"/>
      <c r="AL28" s="114"/>
      <c r="AM28" s="115"/>
      <c r="AN28" s="211"/>
      <c r="AO28" s="211"/>
      <c r="AP28" s="211"/>
      <c r="AQ28" s="211"/>
      <c r="AS28" s="99"/>
    </row>
    <row r="29" spans="1:45" s="98" customFormat="1" ht="20.25" customHeight="1" x14ac:dyDescent="0.25">
      <c r="A29" s="267"/>
      <c r="B29" s="268"/>
      <c r="C29" s="269"/>
      <c r="D29" s="270"/>
      <c r="E29" s="270"/>
      <c r="F29" s="270"/>
      <c r="G29" s="270"/>
      <c r="H29" s="270"/>
      <c r="I29" s="270"/>
      <c r="J29" s="270"/>
      <c r="K29" s="270"/>
      <c r="L29" s="270"/>
      <c r="M29" s="270"/>
      <c r="N29" s="270"/>
      <c r="O29" s="270"/>
      <c r="P29" s="270"/>
      <c r="Q29" s="270"/>
      <c r="R29" s="270"/>
      <c r="S29" s="270"/>
      <c r="T29" s="270"/>
      <c r="U29" s="270"/>
      <c r="V29" s="270"/>
      <c r="W29" s="66"/>
      <c r="X29" s="270"/>
      <c r="Y29" s="270"/>
      <c r="Z29" s="270"/>
      <c r="AA29" s="270"/>
      <c r="AB29" s="270"/>
      <c r="AC29" s="270"/>
      <c r="AD29" s="270"/>
      <c r="AE29" s="270"/>
      <c r="AF29" s="270"/>
      <c r="AG29" s="270"/>
      <c r="AH29" s="270"/>
      <c r="AI29" s="131"/>
      <c r="AK29" s="114"/>
      <c r="AL29" s="114"/>
      <c r="AM29" s="115"/>
      <c r="AN29" s="211"/>
      <c r="AO29" s="211"/>
      <c r="AP29" s="211"/>
      <c r="AQ29" s="211"/>
    </row>
    <row r="30" spans="1:45" s="75" customFormat="1" x14ac:dyDescent="0.25">
      <c r="A30" s="70"/>
      <c r="B30" s="70"/>
      <c r="C30" s="71"/>
      <c r="D30" s="271"/>
      <c r="E30" s="72"/>
      <c r="F30" s="72"/>
      <c r="G30" s="72"/>
      <c r="H30" s="73"/>
      <c r="I30" s="73"/>
      <c r="J30" s="27"/>
      <c r="K30" s="27"/>
      <c r="L30" s="27"/>
      <c r="M30" s="27"/>
      <c r="N30" s="74"/>
      <c r="O30" s="27"/>
      <c r="P30" s="27"/>
      <c r="Q30" s="27"/>
      <c r="R30" s="27"/>
      <c r="S30" s="27"/>
      <c r="T30" s="27"/>
      <c r="U30" s="27"/>
      <c r="V30" s="27"/>
      <c r="W30" s="27"/>
      <c r="X30" s="27"/>
      <c r="Y30" s="27"/>
      <c r="Z30" s="27"/>
      <c r="AA30" s="27"/>
      <c r="AB30" s="27"/>
      <c r="AC30" s="27"/>
      <c r="AD30" s="27"/>
      <c r="AE30" s="27"/>
      <c r="AF30" s="27"/>
      <c r="AG30" s="27"/>
      <c r="AH30" s="27"/>
      <c r="AI30" s="27"/>
      <c r="AJ30" s="76"/>
      <c r="AN30" s="76"/>
      <c r="AO30" s="76"/>
      <c r="AP30" s="76"/>
      <c r="AQ30" s="76"/>
      <c r="AR30" s="76"/>
    </row>
    <row r="31" spans="1:45" s="75" customFormat="1" ht="58.5" customHeight="1" x14ac:dyDescent="0.25">
      <c r="A31" s="70"/>
      <c r="B31" s="70"/>
      <c r="C31" s="71"/>
      <c r="D31" s="77"/>
      <c r="E31" s="77"/>
      <c r="F31" s="27"/>
      <c r="G31" s="1545" t="s">
        <v>140</v>
      </c>
      <c r="H31" s="1545"/>
      <c r="I31" s="1545" t="s">
        <v>145</v>
      </c>
      <c r="J31" s="1545"/>
      <c r="K31" s="1545" t="s">
        <v>128</v>
      </c>
      <c r="L31" s="1545"/>
      <c r="Q31" s="27"/>
      <c r="R31" s="27"/>
      <c r="S31" s="27"/>
      <c r="T31" s="27"/>
      <c r="U31" s="27"/>
      <c r="V31" s="27"/>
      <c r="W31" s="27"/>
      <c r="X31" s="27"/>
      <c r="Y31" s="27"/>
      <c r="Z31" s="27"/>
      <c r="AA31" s="27"/>
      <c r="AB31" s="27"/>
      <c r="AC31" s="27"/>
      <c r="AD31" s="27"/>
      <c r="AE31" s="27"/>
      <c r="AF31" s="27"/>
      <c r="AG31" s="27"/>
      <c r="AH31" s="27"/>
      <c r="AI31" s="27"/>
      <c r="AJ31" s="76"/>
      <c r="AN31" s="76"/>
      <c r="AO31" s="76"/>
      <c r="AP31" s="76"/>
      <c r="AQ31" s="76"/>
      <c r="AR31" s="76"/>
    </row>
    <row r="32" spans="1:45" s="75" customFormat="1" x14ac:dyDescent="0.25">
      <c r="A32" s="70"/>
      <c r="B32" s="70"/>
      <c r="C32" s="71"/>
      <c r="D32" s="77"/>
      <c r="E32" s="77"/>
      <c r="F32" s="27"/>
      <c r="G32" s="78">
        <v>991</v>
      </c>
      <c r="H32" s="78">
        <v>992</v>
      </c>
      <c r="I32" s="78">
        <v>991</v>
      </c>
      <c r="J32" s="78">
        <v>992</v>
      </c>
      <c r="K32" s="78">
        <v>991</v>
      </c>
      <c r="L32" s="78">
        <v>992</v>
      </c>
      <c r="Q32" s="27"/>
      <c r="R32" s="27"/>
      <c r="S32" s="27"/>
      <c r="T32" s="27"/>
      <c r="U32" s="27"/>
      <c r="V32" s="27"/>
      <c r="W32" s="27"/>
      <c r="X32" s="27"/>
      <c r="Y32" s="27"/>
      <c r="Z32" s="27"/>
      <c r="AA32" s="27"/>
      <c r="AB32" s="27"/>
      <c r="AC32" s="27"/>
      <c r="AD32" s="27"/>
      <c r="AE32" s="27"/>
      <c r="AF32" s="27"/>
      <c r="AG32" s="27"/>
      <c r="AH32" s="27"/>
      <c r="AI32" s="27"/>
      <c r="AJ32" s="76"/>
      <c r="AN32" s="76"/>
      <c r="AO32" s="76"/>
      <c r="AP32" s="76"/>
      <c r="AQ32" s="76"/>
      <c r="AR32" s="76"/>
    </row>
    <row r="33" spans="1:44" s="75" customFormat="1" x14ac:dyDescent="0.25">
      <c r="A33" s="70"/>
      <c r="B33" s="70"/>
      <c r="C33" s="71"/>
      <c r="D33" s="77"/>
      <c r="E33" s="77"/>
      <c r="F33" s="27"/>
      <c r="G33" s="29">
        <v>18394</v>
      </c>
      <c r="H33" s="29">
        <v>5393.9</v>
      </c>
      <c r="I33" s="29">
        <f>V28</f>
        <v>18394</v>
      </c>
      <c r="J33" s="29">
        <f>W28</f>
        <v>5400.8</v>
      </c>
      <c r="K33" s="29">
        <f>G33-I33</f>
        <v>0</v>
      </c>
      <c r="L33" s="29">
        <f>H33-J33</f>
        <v>-6.9</v>
      </c>
      <c r="Q33" s="27"/>
      <c r="R33" s="27"/>
      <c r="S33" s="27"/>
      <c r="T33" s="27"/>
      <c r="U33" s="27"/>
      <c r="V33" s="27"/>
      <c r="W33" s="27"/>
      <c r="X33" s="27"/>
      <c r="Y33" s="27"/>
      <c r="Z33" s="27"/>
      <c r="AA33" s="27"/>
      <c r="AB33" s="27"/>
      <c r="AC33" s="27"/>
      <c r="AD33" s="27"/>
      <c r="AE33" s="27"/>
      <c r="AF33" s="27"/>
      <c r="AG33" s="27"/>
      <c r="AH33" s="27"/>
      <c r="AI33" s="27"/>
      <c r="AJ33" s="76"/>
      <c r="AN33" s="76"/>
      <c r="AO33" s="76"/>
      <c r="AP33" s="76"/>
      <c r="AQ33" s="76"/>
      <c r="AR33" s="76"/>
    </row>
    <row r="38" spans="1:44" s="35" customFormat="1" ht="21" x14ac:dyDescent="0.25">
      <c r="A38" s="81"/>
      <c r="B38" s="82" t="s">
        <v>138</v>
      </c>
      <c r="C38" s="83"/>
      <c r="D38" s="84"/>
      <c r="E38" s="84"/>
      <c r="F38" s="85"/>
      <c r="G38" s="85"/>
      <c r="H38" s="86"/>
      <c r="I38" s="86"/>
      <c r="J38" s="85"/>
      <c r="K38" s="30" t="s">
        <v>166</v>
      </c>
      <c r="L38" s="85"/>
      <c r="M38" s="85"/>
      <c r="N38" s="87"/>
      <c r="O38" s="85"/>
      <c r="P38" s="85"/>
      <c r="Q38" s="85"/>
      <c r="R38" s="85"/>
      <c r="S38" s="85"/>
      <c r="T38" s="85"/>
      <c r="U38" s="85"/>
      <c r="V38" s="85"/>
      <c r="W38" s="85"/>
      <c r="X38" s="85"/>
      <c r="Y38" s="85"/>
      <c r="Z38" s="85"/>
      <c r="AA38" s="85"/>
      <c r="AB38" s="85"/>
      <c r="AC38" s="85"/>
      <c r="AD38" s="85"/>
      <c r="AE38" s="85"/>
      <c r="AF38" s="85"/>
      <c r="AG38" s="85"/>
      <c r="AH38" s="85"/>
      <c r="AI38" s="85"/>
      <c r="AK38" s="88"/>
      <c r="AL38" s="88"/>
      <c r="AM38" s="88"/>
      <c r="AN38" s="88"/>
      <c r="AO38" s="88"/>
    </row>
    <row r="39" spans="1:44" s="143" customFormat="1" x14ac:dyDescent="0.25">
      <c r="A39" s="136"/>
      <c r="B39" s="136"/>
      <c r="C39" s="137"/>
      <c r="D39" s="144"/>
      <c r="E39" s="144"/>
      <c r="F39" s="140"/>
      <c r="G39" s="140"/>
      <c r="H39" s="139"/>
      <c r="I39" s="139"/>
      <c r="J39" s="140"/>
      <c r="K39" s="140"/>
      <c r="L39" s="140"/>
      <c r="M39" s="140"/>
      <c r="N39" s="141"/>
      <c r="O39" s="140"/>
      <c r="P39" s="140"/>
      <c r="Q39" s="140"/>
      <c r="R39" s="140"/>
      <c r="S39" s="140"/>
      <c r="T39" s="140"/>
      <c r="U39" s="140"/>
      <c r="V39" s="140"/>
      <c r="W39" s="140"/>
      <c r="X39" s="140"/>
      <c r="Y39" s="140"/>
      <c r="Z39" s="140"/>
      <c r="AA39" s="140"/>
      <c r="AB39" s="140"/>
      <c r="AC39" s="140"/>
      <c r="AD39" s="140"/>
      <c r="AE39" s="140"/>
      <c r="AF39" s="142"/>
      <c r="AK39" s="142"/>
      <c r="AL39" s="142"/>
      <c r="AM39" s="142"/>
      <c r="AN39" s="76"/>
      <c r="AO39" s="76"/>
      <c r="AP39" s="76"/>
      <c r="AQ39" s="76"/>
      <c r="AR39" s="99"/>
    </row>
    <row r="40" spans="1:44" s="143" customFormat="1" x14ac:dyDescent="0.25">
      <c r="A40" s="136"/>
      <c r="B40" s="136"/>
      <c r="C40" s="137"/>
      <c r="D40" s="144"/>
      <c r="E40" s="144"/>
      <c r="F40" s="140"/>
      <c r="G40" s="140"/>
      <c r="H40" s="139"/>
      <c r="I40" s="139"/>
      <c r="J40" s="140"/>
      <c r="K40" s="140"/>
      <c r="L40" s="140"/>
      <c r="M40" s="140"/>
      <c r="N40" s="202"/>
      <c r="O40" s="203"/>
      <c r="P40" s="140"/>
      <c r="Q40" s="140"/>
      <c r="R40" s="140"/>
      <c r="S40" s="140"/>
      <c r="T40" s="140"/>
      <c r="U40" s="140"/>
      <c r="V40" s="140"/>
      <c r="W40" s="140"/>
      <c r="X40" s="140"/>
      <c r="Y40" s="140"/>
      <c r="Z40" s="140"/>
      <c r="AA40" s="140"/>
      <c r="AB40" s="140"/>
      <c r="AC40" s="140"/>
      <c r="AD40" s="140"/>
      <c r="AE40" s="140"/>
      <c r="AF40" s="142"/>
      <c r="AK40" s="142"/>
      <c r="AL40" s="142"/>
      <c r="AM40" s="142"/>
      <c r="AN40" s="76"/>
      <c r="AO40" s="76"/>
      <c r="AP40" s="76"/>
      <c r="AQ40" s="76"/>
      <c r="AR40" s="252"/>
    </row>
    <row r="41" spans="1:44" s="143" customFormat="1" ht="20.25" customHeight="1" x14ac:dyDescent="0.25">
      <c r="A41" s="145" t="s">
        <v>96</v>
      </c>
      <c r="B41" s="145"/>
      <c r="C41" s="146"/>
      <c r="D41" s="146"/>
      <c r="E41" s="146"/>
      <c r="F41" s="146"/>
      <c r="G41" s="146"/>
      <c r="H41" s="146"/>
      <c r="I41" s="146"/>
      <c r="J41" s="146"/>
      <c r="K41" s="146"/>
      <c r="L41" s="147"/>
      <c r="M41" s="147"/>
      <c r="N41" s="202"/>
      <c r="O41" s="203"/>
      <c r="P41" s="147"/>
      <c r="Q41" s="147"/>
      <c r="R41" s="147"/>
      <c r="S41" s="147"/>
      <c r="T41" s="147"/>
      <c r="U41" s="147"/>
      <c r="V41" s="147"/>
      <c r="W41" s="147"/>
      <c r="X41" s="147"/>
      <c r="Y41" s="147"/>
      <c r="Z41" s="147"/>
      <c r="AA41" s="147"/>
      <c r="AB41" s="147"/>
      <c r="AC41" s="147"/>
      <c r="AD41" s="147"/>
      <c r="AE41" s="147"/>
      <c r="AF41" s="142"/>
      <c r="AK41" s="142"/>
      <c r="AL41" s="142"/>
      <c r="AM41" s="142"/>
      <c r="AN41" s="76"/>
      <c r="AO41" s="76"/>
      <c r="AP41" s="76"/>
      <c r="AQ41" s="76"/>
      <c r="AR41" s="99"/>
    </row>
    <row r="42" spans="1:44" s="143" customFormat="1" ht="20.25" customHeight="1" x14ac:dyDescent="0.25">
      <c r="A42" s="145" t="s">
        <v>139</v>
      </c>
      <c r="B42" s="149"/>
      <c r="C42" s="150"/>
      <c r="D42" s="150"/>
      <c r="E42" s="151"/>
      <c r="F42" s="151"/>
      <c r="G42" s="151"/>
      <c r="H42" s="151"/>
      <c r="I42" s="151"/>
      <c r="J42" s="151"/>
      <c r="K42" s="151"/>
      <c r="L42" s="147"/>
      <c r="M42" s="147"/>
      <c r="N42" s="202"/>
      <c r="O42" s="203"/>
      <c r="P42" s="147"/>
      <c r="Q42" s="147"/>
      <c r="R42" s="147"/>
      <c r="S42" s="147"/>
      <c r="T42" s="147"/>
      <c r="U42" s="147"/>
      <c r="V42" s="147"/>
      <c r="W42" s="147"/>
      <c r="X42" s="147"/>
      <c r="Y42" s="147"/>
      <c r="Z42" s="147"/>
      <c r="AA42" s="147"/>
      <c r="AB42" s="147"/>
      <c r="AC42" s="147"/>
      <c r="AD42" s="147"/>
      <c r="AE42" s="147"/>
      <c r="AF42" s="142"/>
      <c r="AK42" s="142"/>
      <c r="AL42" s="142"/>
      <c r="AM42" s="142"/>
      <c r="AN42" s="76"/>
      <c r="AO42" s="76"/>
      <c r="AP42" s="76"/>
      <c r="AQ42" s="76"/>
      <c r="AR42" s="252"/>
    </row>
    <row r="44" spans="1:44" x14ac:dyDescent="0.25">
      <c r="E44" s="115"/>
    </row>
    <row r="45" spans="1:44" x14ac:dyDescent="0.25">
      <c r="E45" s="115"/>
    </row>
    <row r="46" spans="1:44" x14ac:dyDescent="0.25">
      <c r="E46" s="115"/>
      <c r="Y46" s="99" t="s">
        <v>124</v>
      </c>
    </row>
    <row r="47" spans="1:44" x14ac:dyDescent="0.25">
      <c r="E47" s="115"/>
    </row>
    <row r="48" spans="1:44" x14ac:dyDescent="0.25">
      <c r="E48" s="115"/>
    </row>
    <row r="49" spans="5:5" x14ac:dyDescent="0.25">
      <c r="E49" s="115"/>
    </row>
    <row r="50" spans="5:5" x14ac:dyDescent="0.25">
      <c r="E50" s="115"/>
    </row>
    <row r="51" spans="5:5" x14ac:dyDescent="0.25">
      <c r="E51" s="115"/>
    </row>
    <row r="52" spans="5:5" x14ac:dyDescent="0.25">
      <c r="E52" s="115"/>
    </row>
    <row r="53" spans="5:5" x14ac:dyDescent="0.25">
      <c r="E53" s="115"/>
    </row>
    <row r="54" spans="5:5" x14ac:dyDescent="0.25">
      <c r="E54" s="115"/>
    </row>
    <row r="55" spans="5:5" x14ac:dyDescent="0.25">
      <c r="E55" s="115"/>
    </row>
    <row r="56" spans="5:5" x14ac:dyDescent="0.25">
      <c r="E56" s="115"/>
    </row>
    <row r="57" spans="5:5" x14ac:dyDescent="0.25">
      <c r="E57" s="115"/>
    </row>
    <row r="58" spans="5:5" x14ac:dyDescent="0.25">
      <c r="E58" s="115"/>
    </row>
    <row r="59" spans="5:5" x14ac:dyDescent="0.25">
      <c r="E59" s="115"/>
    </row>
    <row r="60" spans="5:5" x14ac:dyDescent="0.25">
      <c r="E60" s="115"/>
    </row>
    <row r="61" spans="5:5" x14ac:dyDescent="0.25">
      <c r="E61" s="115"/>
    </row>
    <row r="62" spans="5:5" x14ac:dyDescent="0.25">
      <c r="E62" s="115"/>
    </row>
    <row r="63" spans="5:5" x14ac:dyDescent="0.25">
      <c r="E63" s="115"/>
    </row>
    <row r="64" spans="5:5" x14ac:dyDescent="0.25">
      <c r="E64" s="115"/>
    </row>
    <row r="65" spans="5:5" x14ac:dyDescent="0.25">
      <c r="E65" s="115"/>
    </row>
    <row r="66" spans="5:5" x14ac:dyDescent="0.25">
      <c r="E66" s="115"/>
    </row>
    <row r="67" spans="5:5" x14ac:dyDescent="0.25">
      <c r="E67" s="115"/>
    </row>
    <row r="68" spans="5:5" x14ac:dyDescent="0.25">
      <c r="E68" s="115"/>
    </row>
  </sheetData>
  <autoFilter ref="A8:AS28"/>
  <mergeCells count="37">
    <mergeCell ref="G31:H31"/>
    <mergeCell ref="AA6:AC6"/>
    <mergeCell ref="AD6:AF6"/>
    <mergeCell ref="K6:K7"/>
    <mergeCell ref="AH6:AH7"/>
    <mergeCell ref="U9:U27"/>
    <mergeCell ref="W6:W7"/>
    <mergeCell ref="X6:Z6"/>
    <mergeCell ref="I31:J31"/>
    <mergeCell ref="K31:L31"/>
    <mergeCell ref="AG6:AG7"/>
    <mergeCell ref="A28:B28"/>
    <mergeCell ref="S6:S7"/>
    <mergeCell ref="T6:T7"/>
    <mergeCell ref="U6:U7"/>
    <mergeCell ref="V6:V7"/>
    <mergeCell ref="L6:L7"/>
    <mergeCell ref="M6:M7"/>
    <mergeCell ref="N6:O6"/>
    <mergeCell ref="P6:P7"/>
    <mergeCell ref="Q6:Q7"/>
    <mergeCell ref="G6:G7"/>
    <mergeCell ref="H6:H7"/>
    <mergeCell ref="I6:I7"/>
    <mergeCell ref="J6:J7"/>
    <mergeCell ref="X5:AH5"/>
    <mergeCell ref="R6:R7"/>
    <mergeCell ref="AE1:AH1"/>
    <mergeCell ref="A2:AH2"/>
    <mergeCell ref="A3:AH3"/>
    <mergeCell ref="A5:A7"/>
    <mergeCell ref="B5:B7"/>
    <mergeCell ref="C5:C7"/>
    <mergeCell ref="D5:W5"/>
    <mergeCell ref="D6:D7"/>
    <mergeCell ref="E6:E7"/>
    <mergeCell ref="F6:F7"/>
  </mergeCells>
  <printOptions horizontalCentered="1"/>
  <pageMargins left="0" right="0" top="0" bottom="0" header="0.31496062992125984" footer="0.31496062992125984"/>
  <pageSetup paperSize="9" scale="37"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P74"/>
  <sheetViews>
    <sheetView view="pageBreakPreview" zoomScale="70" zoomScaleNormal="80" zoomScaleSheetLayoutView="70" workbookViewId="0">
      <pane xSplit="3" ySplit="8" topLeftCell="V9"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2" x14ac:dyDescent="0.25"/>
  <cols>
    <col min="1" max="1" width="8" style="33" customWidth="1"/>
    <col min="2" max="2" width="30.77734375" style="22" customWidth="1"/>
    <col min="3" max="3" width="13.77734375" style="22" customWidth="1"/>
    <col min="4" max="4" width="13.109375" style="22" customWidth="1"/>
    <col min="5" max="5" width="13" style="22" customWidth="1"/>
    <col min="6" max="6" width="14.6640625" style="22" customWidth="1"/>
    <col min="7" max="7" width="13.109375" style="22" customWidth="1"/>
    <col min="8" max="8" width="15.6640625" style="22" customWidth="1"/>
    <col min="9" max="9" width="13.44140625" style="22" customWidth="1"/>
    <col min="10" max="10" width="20.33203125" style="22" customWidth="1"/>
    <col min="11" max="11" width="13" style="22" customWidth="1"/>
    <col min="12" max="16" width="14.77734375" style="22" customWidth="1"/>
    <col min="17" max="17" width="12.33203125" style="22" customWidth="1"/>
    <col min="18" max="18" width="13" style="22" customWidth="1"/>
    <col min="19" max="19" width="18.109375" style="22" customWidth="1"/>
    <col min="20" max="20" width="14.77734375" style="22" customWidth="1"/>
    <col min="21" max="21" width="14" style="22" customWidth="1"/>
    <col min="22" max="22" width="15.6640625" style="22" customWidth="1"/>
    <col min="23" max="23" width="14.44140625" style="22" customWidth="1"/>
    <col min="24" max="24" width="11.33203125" style="22" customWidth="1"/>
    <col min="25" max="25" width="11" style="22" customWidth="1"/>
    <col min="26" max="26" width="11.44140625" style="22" customWidth="1"/>
    <col min="27" max="28" width="9.33203125" style="22" customWidth="1"/>
    <col min="29" max="29" width="10.109375" style="22" customWidth="1"/>
    <col min="30" max="30" width="8.44140625" style="22" customWidth="1"/>
    <col min="31" max="31" width="10.77734375" style="22" customWidth="1"/>
    <col min="32" max="32" width="10.33203125" style="22" customWidth="1"/>
    <col min="33" max="33" width="11.44140625" style="22" customWidth="1"/>
    <col min="34" max="34" width="13.77734375" style="22" customWidth="1"/>
    <col min="35" max="35" width="12" style="34" customWidth="1"/>
    <col min="36" max="36" width="17.77734375" style="22" customWidth="1"/>
    <col min="37" max="37" width="14" style="22" bestFit="1" customWidth="1"/>
    <col min="38" max="39" width="9.44140625" style="22" bestFit="1" customWidth="1"/>
    <col min="40" max="40" width="11.44140625" style="22" bestFit="1" customWidth="1"/>
    <col min="41" max="41" width="9.33203125" style="22"/>
    <col min="42" max="42" width="9.44140625" style="22" bestFit="1" customWidth="1"/>
    <col min="43" max="16384" width="9.33203125" style="22"/>
  </cols>
  <sheetData>
    <row r="1" spans="1:42" ht="21.75" customHeight="1" x14ac:dyDescent="0.25">
      <c r="AE1" s="1534"/>
      <c r="AF1" s="1534"/>
      <c r="AG1" s="1534"/>
      <c r="AH1" s="1534"/>
    </row>
    <row r="2" spans="1:42" ht="33" customHeight="1" x14ac:dyDescent="0.25">
      <c r="A2" s="1535" t="s">
        <v>153</v>
      </c>
      <c r="B2" s="1535"/>
      <c r="C2" s="1535"/>
      <c r="D2" s="1535"/>
      <c r="E2" s="1535"/>
      <c r="F2" s="1535"/>
      <c r="G2" s="1535"/>
      <c r="H2" s="1535"/>
      <c r="I2" s="1535"/>
      <c r="J2" s="1535"/>
      <c r="K2" s="1535"/>
      <c r="L2" s="1535"/>
      <c r="M2" s="1535"/>
      <c r="N2" s="1535"/>
      <c r="O2" s="1535"/>
      <c r="P2" s="1535"/>
      <c r="Q2" s="1535"/>
      <c r="R2" s="1535"/>
      <c r="S2" s="1535"/>
      <c r="T2" s="1535"/>
      <c r="U2" s="1535"/>
      <c r="V2" s="1535"/>
      <c r="W2" s="1535"/>
      <c r="X2" s="1535"/>
      <c r="Y2" s="1535"/>
      <c r="Z2" s="1535"/>
      <c r="AA2" s="1535"/>
      <c r="AB2" s="1535"/>
      <c r="AC2" s="1535"/>
      <c r="AD2" s="1535"/>
      <c r="AE2" s="1535"/>
      <c r="AF2" s="1535"/>
      <c r="AG2" s="1535"/>
      <c r="AH2" s="1535"/>
      <c r="AI2" s="36"/>
    </row>
    <row r="3" spans="1:42" ht="24.75" customHeight="1" x14ac:dyDescent="0.25">
      <c r="A3" s="1536"/>
      <c r="B3" s="1536"/>
      <c r="C3" s="1536"/>
      <c r="D3" s="1536"/>
      <c r="E3" s="1536"/>
      <c r="F3" s="1536"/>
      <c r="G3" s="1536"/>
      <c r="H3" s="1536"/>
      <c r="I3" s="1536"/>
      <c r="J3" s="1536"/>
      <c r="K3" s="1536"/>
      <c r="L3" s="1536"/>
      <c r="M3" s="1536"/>
      <c r="N3" s="1536"/>
      <c r="O3" s="1536"/>
      <c r="P3" s="1536"/>
      <c r="Q3" s="1536"/>
      <c r="R3" s="1536"/>
      <c r="S3" s="1536"/>
      <c r="T3" s="1536"/>
      <c r="U3" s="1536"/>
      <c r="V3" s="1536"/>
      <c r="W3" s="1536"/>
      <c r="X3" s="1536"/>
      <c r="Y3" s="1536"/>
      <c r="Z3" s="1536"/>
      <c r="AA3" s="1536"/>
      <c r="AB3" s="1536"/>
      <c r="AC3" s="1536"/>
      <c r="AD3" s="1536"/>
      <c r="AE3" s="1536"/>
      <c r="AF3" s="1536"/>
      <c r="AG3" s="1536"/>
      <c r="AH3" s="1536"/>
      <c r="AI3" s="283"/>
    </row>
    <row r="4" spans="1:42" x14ac:dyDescent="0.25">
      <c r="L4" s="22">
        <v>0.32216</v>
      </c>
      <c r="O4" s="39"/>
      <c r="P4" s="39"/>
    </row>
    <row r="5" spans="1:42" ht="38.25" customHeight="1" x14ac:dyDescent="0.25">
      <c r="A5" s="1537" t="s">
        <v>78</v>
      </c>
      <c r="B5" s="1537" t="s">
        <v>77</v>
      </c>
      <c r="C5" s="1538" t="s">
        <v>0</v>
      </c>
      <c r="D5" s="1538" t="s">
        <v>3</v>
      </c>
      <c r="E5" s="1538"/>
      <c r="F5" s="1538"/>
      <c r="G5" s="1538"/>
      <c r="H5" s="1538"/>
      <c r="I5" s="1538"/>
      <c r="J5" s="1538"/>
      <c r="K5" s="1538"/>
      <c r="L5" s="1538"/>
      <c r="M5" s="1538"/>
      <c r="N5" s="1538"/>
      <c r="O5" s="1538"/>
      <c r="P5" s="1538"/>
      <c r="Q5" s="1538"/>
      <c r="R5" s="1538"/>
      <c r="S5" s="1538"/>
      <c r="T5" s="1538"/>
      <c r="U5" s="1538"/>
      <c r="V5" s="1538"/>
      <c r="W5" s="1538"/>
      <c r="X5" s="1538" t="s">
        <v>4</v>
      </c>
      <c r="Y5" s="1538"/>
      <c r="Z5" s="1538"/>
      <c r="AA5" s="1538"/>
      <c r="AB5" s="1538"/>
      <c r="AC5" s="1538"/>
      <c r="AD5" s="1538"/>
      <c r="AE5" s="1538"/>
      <c r="AF5" s="1538"/>
      <c r="AG5" s="1538"/>
      <c r="AH5" s="1538"/>
    </row>
    <row r="6" spans="1:42" ht="60" customHeight="1" x14ac:dyDescent="0.25">
      <c r="A6" s="1537"/>
      <c r="B6" s="1537"/>
      <c r="C6" s="1538"/>
      <c r="D6" s="1530" t="s">
        <v>79</v>
      </c>
      <c r="E6" s="1530" t="s">
        <v>69</v>
      </c>
      <c r="F6" s="1530" t="s">
        <v>89</v>
      </c>
      <c r="G6" s="1530" t="s">
        <v>1</v>
      </c>
      <c r="H6" s="1530" t="s">
        <v>2</v>
      </c>
      <c r="I6" s="1530" t="s">
        <v>70</v>
      </c>
      <c r="J6" s="1530" t="s">
        <v>61</v>
      </c>
      <c r="K6" s="1530" t="s">
        <v>27</v>
      </c>
      <c r="L6" s="1533" t="s">
        <v>65</v>
      </c>
      <c r="M6" s="1533" t="s">
        <v>86</v>
      </c>
      <c r="N6" s="1539" t="s">
        <v>90</v>
      </c>
      <c r="O6" s="1539"/>
      <c r="P6" s="1539" t="s">
        <v>88</v>
      </c>
      <c r="Q6" s="1533" t="s">
        <v>82</v>
      </c>
      <c r="R6" s="1530" t="s">
        <v>83</v>
      </c>
      <c r="S6" s="1533" t="s">
        <v>87</v>
      </c>
      <c r="T6" s="1530" t="s">
        <v>84</v>
      </c>
      <c r="U6" s="1530" t="s">
        <v>9</v>
      </c>
      <c r="V6" s="1530" t="s">
        <v>7</v>
      </c>
      <c r="W6" s="1530" t="s">
        <v>85</v>
      </c>
      <c r="X6" s="1538" t="s">
        <v>10</v>
      </c>
      <c r="Y6" s="1538"/>
      <c r="Z6" s="1538"/>
      <c r="AA6" s="1538" t="s">
        <v>11</v>
      </c>
      <c r="AB6" s="1538"/>
      <c r="AC6" s="1538"/>
      <c r="AD6" s="1538" t="s">
        <v>12</v>
      </c>
      <c r="AE6" s="1538"/>
      <c r="AF6" s="1538"/>
      <c r="AG6" s="1538" t="s">
        <v>13</v>
      </c>
      <c r="AH6" s="1538" t="s">
        <v>73</v>
      </c>
    </row>
    <row r="7" spans="1:42" ht="57" customHeight="1" x14ac:dyDescent="0.25">
      <c r="A7" s="1537"/>
      <c r="B7" s="1537"/>
      <c r="C7" s="1538"/>
      <c r="D7" s="1530"/>
      <c r="E7" s="1530"/>
      <c r="F7" s="1530"/>
      <c r="G7" s="1530"/>
      <c r="H7" s="1530"/>
      <c r="I7" s="1530"/>
      <c r="J7" s="1530"/>
      <c r="K7" s="1530"/>
      <c r="L7" s="1533" t="s">
        <v>66</v>
      </c>
      <c r="M7" s="1533"/>
      <c r="N7" s="281" t="s">
        <v>80</v>
      </c>
      <c r="O7" s="281" t="s">
        <v>81</v>
      </c>
      <c r="P7" s="1539"/>
      <c r="Q7" s="1533"/>
      <c r="R7" s="1530"/>
      <c r="S7" s="1533" t="s">
        <v>67</v>
      </c>
      <c r="T7" s="1530"/>
      <c r="U7" s="1530"/>
      <c r="V7" s="1530"/>
      <c r="W7" s="1530"/>
      <c r="X7" s="280" t="s">
        <v>5</v>
      </c>
      <c r="Y7" s="280" t="s">
        <v>6</v>
      </c>
      <c r="Z7" s="280" t="s">
        <v>74</v>
      </c>
      <c r="AA7" s="280" t="s">
        <v>5</v>
      </c>
      <c r="AB7" s="280" t="s">
        <v>6</v>
      </c>
      <c r="AC7" s="280" t="s">
        <v>75</v>
      </c>
      <c r="AD7" s="280" t="s">
        <v>5</v>
      </c>
      <c r="AE7" s="280" t="s">
        <v>6</v>
      </c>
      <c r="AF7" s="280" t="s">
        <v>76</v>
      </c>
      <c r="AG7" s="1538"/>
      <c r="AH7" s="1538"/>
      <c r="AJ7" s="33" t="s">
        <v>64</v>
      </c>
    </row>
    <row r="8" spans="1:42" ht="12.75" customHeight="1" x14ac:dyDescent="0.25">
      <c r="A8" s="278">
        <v>1</v>
      </c>
      <c r="B8" s="278">
        <v>2</v>
      </c>
      <c r="C8" s="278">
        <v>3</v>
      </c>
      <c r="D8" s="278">
        <v>4</v>
      </c>
      <c r="E8" s="278">
        <v>5</v>
      </c>
      <c r="F8" s="278">
        <v>6</v>
      </c>
      <c r="G8" s="278">
        <v>7</v>
      </c>
      <c r="H8" s="278">
        <v>8</v>
      </c>
      <c r="I8" s="278">
        <v>9</v>
      </c>
      <c r="J8" s="278">
        <v>10</v>
      </c>
      <c r="K8" s="278">
        <v>11</v>
      </c>
      <c r="L8" s="278">
        <v>12</v>
      </c>
      <c r="M8" s="278">
        <v>13</v>
      </c>
      <c r="N8" s="278">
        <v>14</v>
      </c>
      <c r="O8" s="278">
        <v>15</v>
      </c>
      <c r="P8" s="278">
        <v>16</v>
      </c>
      <c r="Q8" s="278">
        <v>17</v>
      </c>
      <c r="R8" s="278">
        <v>18</v>
      </c>
      <c r="S8" s="278">
        <v>19</v>
      </c>
      <c r="T8" s="278">
        <v>20</v>
      </c>
      <c r="U8" s="278">
        <v>21</v>
      </c>
      <c r="V8" s="278">
        <v>22</v>
      </c>
      <c r="W8" s="278">
        <v>23</v>
      </c>
      <c r="X8" s="278">
        <v>24</v>
      </c>
      <c r="Y8" s="278">
        <v>25</v>
      </c>
      <c r="Z8" s="278">
        <v>26</v>
      </c>
      <c r="AA8" s="278">
        <v>27</v>
      </c>
      <c r="AB8" s="278">
        <v>28</v>
      </c>
      <c r="AC8" s="278">
        <v>29</v>
      </c>
      <c r="AD8" s="278">
        <v>30</v>
      </c>
      <c r="AE8" s="278">
        <v>31</v>
      </c>
      <c r="AF8" s="278">
        <v>32</v>
      </c>
      <c r="AG8" s="278">
        <v>33</v>
      </c>
      <c r="AH8" s="278">
        <v>34</v>
      </c>
      <c r="AK8" s="43" t="s">
        <v>116</v>
      </c>
      <c r="AL8" s="43" t="s">
        <v>117</v>
      </c>
      <c r="AM8" s="43" t="s">
        <v>118</v>
      </c>
      <c r="AN8" s="43" t="s">
        <v>119</v>
      </c>
    </row>
    <row r="9" spans="1:42" ht="27" customHeight="1" x14ac:dyDescent="0.25">
      <c r="A9" s="278">
        <v>1</v>
      </c>
      <c r="B9" s="44" t="s">
        <v>21</v>
      </c>
      <c r="C9" s="278">
        <v>1</v>
      </c>
      <c r="D9" s="45">
        <v>21.991</v>
      </c>
      <c r="E9" s="46">
        <f>C9*D9</f>
        <v>21.99</v>
      </c>
      <c r="F9" s="47">
        <f>E9*12</f>
        <v>263.89999999999998</v>
      </c>
      <c r="G9" s="24"/>
      <c r="H9" s="24"/>
      <c r="I9" s="24"/>
      <c r="J9" s="24"/>
      <c r="K9" s="24">
        <f>D9*0.3*12+0.05*9</f>
        <v>79.599999999999994</v>
      </c>
      <c r="L9" s="24">
        <f>F9*$L$4</f>
        <v>85</v>
      </c>
      <c r="M9" s="24">
        <f t="shared" ref="M9:M27" si="0">F9+G9+H9+I9+J9+K9+L9</f>
        <v>428.5</v>
      </c>
      <c r="N9" s="48">
        <v>1.1100000000000001</v>
      </c>
      <c r="O9" s="24">
        <f t="shared" ref="O9:O27" si="1">M9*N9</f>
        <v>475.6</v>
      </c>
      <c r="P9" s="24">
        <f>M9+O9</f>
        <v>904.1</v>
      </c>
      <c r="Q9" s="24">
        <f>P9*0.8</f>
        <v>723.3</v>
      </c>
      <c r="R9" s="24">
        <f t="shared" ref="R9:R27" si="2">P9*0.8</f>
        <v>723.3</v>
      </c>
      <c r="S9" s="24">
        <f>(P9+Q9+R9)*0.032</f>
        <v>75.2</v>
      </c>
      <c r="T9" s="49">
        <f t="shared" ref="T9:T27" si="3">P9+Q9+R9+S9</f>
        <v>2425.9</v>
      </c>
      <c r="U9" s="1531">
        <v>1</v>
      </c>
      <c r="V9" s="49">
        <f>T9*$U$9</f>
        <v>2425.9</v>
      </c>
      <c r="W9" s="49">
        <f>AN9</f>
        <v>534.29999999999995</v>
      </c>
      <c r="X9" s="278">
        <v>1</v>
      </c>
      <c r="Y9" s="24">
        <v>30</v>
      </c>
      <c r="Z9" s="48">
        <f t="shared" ref="Z9:Z25" si="4">X9*Y9</f>
        <v>30</v>
      </c>
      <c r="AA9" s="278"/>
      <c r="AB9" s="24">
        <v>15</v>
      </c>
      <c r="AC9" s="48">
        <f t="shared" ref="AC9:AC25" si="5">AA9*AB9</f>
        <v>0</v>
      </c>
      <c r="AD9" s="278"/>
      <c r="AE9" s="24">
        <v>30</v>
      </c>
      <c r="AF9" s="48">
        <f t="shared" ref="AF9:AF25" si="6">AD9*AE9</f>
        <v>0</v>
      </c>
      <c r="AG9" s="48">
        <f t="shared" ref="AG9:AG25" si="7">(Z9+AC9+AF9)*1%*30</f>
        <v>9</v>
      </c>
      <c r="AH9" s="48">
        <f t="shared" ref="AH9:AH25" si="8">Z9+AC9+AF9+AG9</f>
        <v>39</v>
      </c>
      <c r="AI9" s="34">
        <f t="shared" ref="AI9:AI27" si="9">V9/12/C9*1000</f>
        <v>202158.3</v>
      </c>
      <c r="AJ9" s="34">
        <f t="shared" ref="AJ9:AJ27" si="10">V9/C9</f>
        <v>2425.9</v>
      </c>
      <c r="AK9" s="50">
        <f>1150*0.22*C9+(V9-1150*C9)*0.1</f>
        <v>380.6</v>
      </c>
      <c r="AL9" s="50">
        <f>865*0.029*C9</f>
        <v>25.1</v>
      </c>
      <c r="AM9" s="50">
        <f t="shared" ref="AM9:AM27" si="11">V9*0.053</f>
        <v>128.6</v>
      </c>
      <c r="AN9" s="50">
        <f>SUM(AK9:AM9)</f>
        <v>534.29999999999995</v>
      </c>
      <c r="AP9" s="51"/>
    </row>
    <row r="10" spans="1:42" ht="27" customHeight="1" x14ac:dyDescent="0.25">
      <c r="A10" s="278">
        <v>2</v>
      </c>
      <c r="B10" s="44" t="s">
        <v>125</v>
      </c>
      <c r="C10" s="278">
        <v>3</v>
      </c>
      <c r="D10" s="45">
        <v>15.394</v>
      </c>
      <c r="E10" s="46">
        <f>C10*D10</f>
        <v>46.18</v>
      </c>
      <c r="F10" s="47">
        <f>E10*12</f>
        <v>554.20000000000005</v>
      </c>
      <c r="G10" s="24"/>
      <c r="H10" s="24"/>
      <c r="I10" s="24"/>
      <c r="J10" s="24"/>
      <c r="K10" s="24">
        <f>D10*0.2*2*12+D10*0.4*12+D10*0.05*3</f>
        <v>150.1</v>
      </c>
      <c r="L10" s="24">
        <f t="shared" ref="L10:L25" si="12">F10*$L$4</f>
        <v>178.5</v>
      </c>
      <c r="M10" s="24">
        <f>F10+G10+H10+I10+J10+K10+L10</f>
        <v>882.8</v>
      </c>
      <c r="N10" s="48">
        <v>0.47</v>
      </c>
      <c r="O10" s="24">
        <f>M10*N10</f>
        <v>414.9</v>
      </c>
      <c r="P10" s="24">
        <f>M10+O10</f>
        <v>1297.7</v>
      </c>
      <c r="Q10" s="24">
        <f>P10*0.8</f>
        <v>1038.2</v>
      </c>
      <c r="R10" s="24">
        <f>P10*0.8</f>
        <v>1038.2</v>
      </c>
      <c r="S10" s="24">
        <f>(P10+Q10+R10)*0.032</f>
        <v>108</v>
      </c>
      <c r="T10" s="49">
        <f>P10+Q10+R10+S10</f>
        <v>3482.1</v>
      </c>
      <c r="U10" s="1532"/>
      <c r="V10" s="49">
        <f>T10*$U$9</f>
        <v>3482.1</v>
      </c>
      <c r="W10" s="49">
        <f>AN10</f>
        <v>1022.1</v>
      </c>
      <c r="X10" s="278">
        <v>2</v>
      </c>
      <c r="Y10" s="24">
        <v>30</v>
      </c>
      <c r="Z10" s="48">
        <f>X10*Y10</f>
        <v>60</v>
      </c>
      <c r="AA10" s="278">
        <v>1</v>
      </c>
      <c r="AB10" s="24">
        <v>15</v>
      </c>
      <c r="AC10" s="48">
        <f>AA10*AB10</f>
        <v>15</v>
      </c>
      <c r="AD10" s="278">
        <v>3</v>
      </c>
      <c r="AE10" s="24">
        <v>30</v>
      </c>
      <c r="AF10" s="48">
        <f>AD10*AE10</f>
        <v>90</v>
      </c>
      <c r="AG10" s="48">
        <f>(Z10+AC10+AF10)*1%*30</f>
        <v>49.5</v>
      </c>
      <c r="AH10" s="48">
        <f>Z10+AC10+AF10+AG10</f>
        <v>214.5</v>
      </c>
      <c r="AI10" s="34">
        <f t="shared" si="9"/>
        <v>96725</v>
      </c>
      <c r="AJ10" s="34">
        <f t="shared" si="10"/>
        <v>1160.7</v>
      </c>
      <c r="AK10" s="50">
        <f>1150*0.22*C10+(V10-1150*C10)*0.1</f>
        <v>762.2</v>
      </c>
      <c r="AL10" s="50">
        <f>865*0.029*C10</f>
        <v>75.3</v>
      </c>
      <c r="AM10" s="50">
        <f t="shared" si="11"/>
        <v>184.6</v>
      </c>
      <c r="AN10" s="50">
        <f>SUM(AK10:AM10)</f>
        <v>1022.1</v>
      </c>
      <c r="AP10" s="51"/>
    </row>
    <row r="11" spans="1:42" ht="27" customHeight="1" x14ac:dyDescent="0.25">
      <c r="A11" s="278">
        <v>3</v>
      </c>
      <c r="B11" s="52" t="s">
        <v>23</v>
      </c>
      <c r="C11" s="278">
        <v>7</v>
      </c>
      <c r="D11" s="53">
        <v>11.061999999999999</v>
      </c>
      <c r="E11" s="46">
        <f t="shared" ref="E11:E27" si="13">C11*D11</f>
        <v>77.430000000000007</v>
      </c>
      <c r="F11" s="47">
        <f t="shared" ref="F11:F27" si="14">E11*12</f>
        <v>929.2</v>
      </c>
      <c r="G11" s="24"/>
      <c r="H11" s="24">
        <f>(6470.9+1198.32)/1000</f>
        <v>7.7</v>
      </c>
      <c r="I11" s="24"/>
      <c r="J11" s="24"/>
      <c r="K11" s="24">
        <f>D11*0.25*12+D11*0.35*12+D11*0.4*4*12</f>
        <v>292</v>
      </c>
      <c r="L11" s="24">
        <f t="shared" si="12"/>
        <v>299.39999999999998</v>
      </c>
      <c r="M11" s="24">
        <f t="shared" si="0"/>
        <v>1528.3</v>
      </c>
      <c r="N11" s="48">
        <v>0.43</v>
      </c>
      <c r="O11" s="24">
        <f t="shared" si="1"/>
        <v>657.2</v>
      </c>
      <c r="P11" s="24">
        <f t="shared" ref="P11:P27" si="15">M11+O11</f>
        <v>2185.5</v>
      </c>
      <c r="Q11" s="24">
        <f t="shared" ref="Q11:Q27" si="16">P11*0.8</f>
        <v>1748.4</v>
      </c>
      <c r="R11" s="24">
        <f t="shared" si="2"/>
        <v>1748.4</v>
      </c>
      <c r="S11" s="24">
        <f t="shared" ref="S11:S27" si="17">(P11+Q11+R11)*0.032</f>
        <v>181.8</v>
      </c>
      <c r="T11" s="49">
        <f t="shared" si="3"/>
        <v>5864.1</v>
      </c>
      <c r="U11" s="1532"/>
      <c r="V11" s="49">
        <f t="shared" ref="V11:V25" si="18">T11*$U$9</f>
        <v>5864.1</v>
      </c>
      <c r="W11" s="49">
        <f>V11*0.302</f>
        <v>1771</v>
      </c>
      <c r="X11" s="278">
        <v>2</v>
      </c>
      <c r="Y11" s="24">
        <v>30</v>
      </c>
      <c r="Z11" s="48">
        <f t="shared" si="4"/>
        <v>60</v>
      </c>
      <c r="AA11" s="278">
        <v>3</v>
      </c>
      <c r="AB11" s="24">
        <v>15</v>
      </c>
      <c r="AC11" s="48">
        <f t="shared" si="5"/>
        <v>45</v>
      </c>
      <c r="AD11" s="278"/>
      <c r="AE11" s="24">
        <v>30</v>
      </c>
      <c r="AF11" s="48">
        <f t="shared" si="6"/>
        <v>0</v>
      </c>
      <c r="AG11" s="48">
        <f>(Z11+AC11+AF11)*1%*30</f>
        <v>31.5</v>
      </c>
      <c r="AH11" s="48">
        <f t="shared" si="8"/>
        <v>136.5</v>
      </c>
      <c r="AI11" s="34">
        <f t="shared" si="9"/>
        <v>69810.7</v>
      </c>
      <c r="AJ11" s="34">
        <f t="shared" si="10"/>
        <v>837.7</v>
      </c>
      <c r="AK11" s="50">
        <f t="shared" ref="AK11:AK27" si="19">V11*0.22</f>
        <v>1290.0999999999999</v>
      </c>
      <c r="AL11" s="50">
        <f>865*0.029*C11</f>
        <v>175.6</v>
      </c>
      <c r="AM11" s="50">
        <f t="shared" si="11"/>
        <v>310.8</v>
      </c>
      <c r="AN11" s="50">
        <f t="shared" ref="AN11:AN27" si="20">SUM(AK11:AM11)</f>
        <v>1776.5</v>
      </c>
      <c r="AP11" s="51"/>
    </row>
    <row r="12" spans="1:42" ht="27" customHeight="1" x14ac:dyDescent="0.25">
      <c r="A12" s="278">
        <v>4</v>
      </c>
      <c r="B12" s="52" t="s">
        <v>134</v>
      </c>
      <c r="C12" s="278">
        <v>1</v>
      </c>
      <c r="D12" s="53">
        <v>11.061999999999999</v>
      </c>
      <c r="E12" s="46">
        <f t="shared" si="13"/>
        <v>11.06</v>
      </c>
      <c r="F12" s="47">
        <f t="shared" si="14"/>
        <v>132.69999999999999</v>
      </c>
      <c r="G12" s="24"/>
      <c r="H12" s="24">
        <f>1078.5/1000</f>
        <v>1.1000000000000001</v>
      </c>
      <c r="I12" s="24"/>
      <c r="J12" s="24"/>
      <c r="K12" s="24"/>
      <c r="L12" s="24">
        <f t="shared" si="12"/>
        <v>42.8</v>
      </c>
      <c r="M12" s="24">
        <f t="shared" si="0"/>
        <v>176.6</v>
      </c>
      <c r="N12" s="48">
        <v>0.43</v>
      </c>
      <c r="O12" s="24">
        <f t="shared" si="1"/>
        <v>75.900000000000006</v>
      </c>
      <c r="P12" s="24">
        <f t="shared" si="15"/>
        <v>252.5</v>
      </c>
      <c r="Q12" s="24">
        <f t="shared" si="16"/>
        <v>202</v>
      </c>
      <c r="R12" s="24">
        <f t="shared" si="2"/>
        <v>202</v>
      </c>
      <c r="S12" s="24">
        <f t="shared" si="17"/>
        <v>21</v>
      </c>
      <c r="T12" s="49">
        <f t="shared" si="3"/>
        <v>677.5</v>
      </c>
      <c r="U12" s="1532"/>
      <c r="V12" s="49">
        <f t="shared" si="18"/>
        <v>677.5</v>
      </c>
      <c r="W12" s="49">
        <f t="shared" ref="W12:W26" si="21">V12*0.302</f>
        <v>204.6</v>
      </c>
      <c r="X12" s="278"/>
      <c r="Y12" s="24">
        <v>30</v>
      </c>
      <c r="Z12" s="48">
        <f t="shared" si="4"/>
        <v>0</v>
      </c>
      <c r="AA12" s="278"/>
      <c r="AB12" s="24">
        <v>15</v>
      </c>
      <c r="AC12" s="48">
        <f t="shared" si="5"/>
        <v>0</v>
      </c>
      <c r="AD12" s="278"/>
      <c r="AE12" s="24">
        <v>30</v>
      </c>
      <c r="AF12" s="48">
        <f t="shared" si="6"/>
        <v>0</v>
      </c>
      <c r="AG12" s="48">
        <f>(Z12+AC12+AF12)*1%*30</f>
        <v>0</v>
      </c>
      <c r="AH12" s="48">
        <f t="shared" si="8"/>
        <v>0</v>
      </c>
      <c r="AI12" s="34">
        <f t="shared" si="9"/>
        <v>56458.3</v>
      </c>
      <c r="AJ12" s="34">
        <f t="shared" si="10"/>
        <v>677.5</v>
      </c>
      <c r="AK12" s="50">
        <f t="shared" si="19"/>
        <v>149.1</v>
      </c>
      <c r="AL12" s="50">
        <f t="shared" ref="AL12:AL27" si="22">912*0.029*C12</f>
        <v>26.4</v>
      </c>
      <c r="AM12" s="50">
        <f t="shared" si="11"/>
        <v>35.9</v>
      </c>
      <c r="AN12" s="50">
        <f t="shared" si="20"/>
        <v>211.4</v>
      </c>
      <c r="AP12" s="51"/>
    </row>
    <row r="13" spans="1:42" ht="27" customHeight="1" x14ac:dyDescent="0.25">
      <c r="A13" s="278">
        <v>5</v>
      </c>
      <c r="B13" s="52" t="s">
        <v>17</v>
      </c>
      <c r="C13" s="278">
        <v>1</v>
      </c>
      <c r="D13" s="53">
        <v>12.335000000000001</v>
      </c>
      <c r="E13" s="46">
        <f t="shared" si="13"/>
        <v>12.34</v>
      </c>
      <c r="F13" s="47">
        <f t="shared" si="14"/>
        <v>148.1</v>
      </c>
      <c r="G13" s="24"/>
      <c r="H13" s="24">
        <f>1202.6/1000</f>
        <v>1.2</v>
      </c>
      <c r="I13" s="24"/>
      <c r="J13" s="24"/>
      <c r="K13" s="24">
        <f>F13*0.4</f>
        <v>59.2</v>
      </c>
      <c r="L13" s="24">
        <f t="shared" si="12"/>
        <v>47.7</v>
      </c>
      <c r="M13" s="24">
        <f t="shared" si="0"/>
        <v>256.2</v>
      </c>
      <c r="N13" s="48">
        <v>0.47</v>
      </c>
      <c r="O13" s="24">
        <f t="shared" si="1"/>
        <v>120.4</v>
      </c>
      <c r="P13" s="24">
        <f t="shared" si="15"/>
        <v>376.6</v>
      </c>
      <c r="Q13" s="24">
        <f t="shared" si="16"/>
        <v>301.3</v>
      </c>
      <c r="R13" s="24">
        <f t="shared" si="2"/>
        <v>301.3</v>
      </c>
      <c r="S13" s="24">
        <f t="shared" si="17"/>
        <v>31.3</v>
      </c>
      <c r="T13" s="49">
        <f t="shared" si="3"/>
        <v>1010.5</v>
      </c>
      <c r="U13" s="1532"/>
      <c r="V13" s="49">
        <f t="shared" si="18"/>
        <v>1010.5</v>
      </c>
      <c r="W13" s="49">
        <f>AN13</f>
        <v>301</v>
      </c>
      <c r="X13" s="278">
        <v>1</v>
      </c>
      <c r="Y13" s="24">
        <v>30</v>
      </c>
      <c r="Z13" s="48">
        <f t="shared" si="4"/>
        <v>30</v>
      </c>
      <c r="AA13" s="278">
        <v>1</v>
      </c>
      <c r="AB13" s="24">
        <v>15</v>
      </c>
      <c r="AC13" s="48">
        <f t="shared" si="5"/>
        <v>15</v>
      </c>
      <c r="AD13" s="278">
        <v>1</v>
      </c>
      <c r="AE13" s="24">
        <v>30</v>
      </c>
      <c r="AF13" s="48">
        <f t="shared" si="6"/>
        <v>30</v>
      </c>
      <c r="AG13" s="48">
        <f t="shared" si="7"/>
        <v>22.5</v>
      </c>
      <c r="AH13" s="48">
        <f t="shared" si="8"/>
        <v>97.5</v>
      </c>
      <c r="AI13" s="34">
        <f t="shared" si="9"/>
        <v>84208.3</v>
      </c>
      <c r="AJ13" s="34">
        <f t="shared" si="10"/>
        <v>1010.5</v>
      </c>
      <c r="AK13" s="50">
        <f t="shared" si="19"/>
        <v>222.3</v>
      </c>
      <c r="AL13" s="50">
        <f>865*0.029*C13</f>
        <v>25.1</v>
      </c>
      <c r="AM13" s="50">
        <f t="shared" si="11"/>
        <v>53.6</v>
      </c>
      <c r="AN13" s="50">
        <f>SUM(AK13:AM13)</f>
        <v>301</v>
      </c>
      <c r="AP13" s="51"/>
    </row>
    <row r="14" spans="1:42" ht="34.5" customHeight="1" x14ac:dyDescent="0.25">
      <c r="A14" s="278">
        <v>6</v>
      </c>
      <c r="B14" s="52" t="s">
        <v>129</v>
      </c>
      <c r="C14" s="54">
        <v>1</v>
      </c>
      <c r="D14" s="53">
        <v>8.4730000000000008</v>
      </c>
      <c r="E14" s="46">
        <f>C14*D14</f>
        <v>8.4700000000000006</v>
      </c>
      <c r="F14" s="47">
        <f>E14*11</f>
        <v>93.2</v>
      </c>
      <c r="G14" s="24"/>
      <c r="H14" s="24">
        <f>826.1/1000</f>
        <v>0.8</v>
      </c>
      <c r="I14" s="24"/>
      <c r="J14" s="24"/>
      <c r="K14" s="24">
        <f>F14*0.2</f>
        <v>18.600000000000001</v>
      </c>
      <c r="L14" s="24">
        <f t="shared" si="12"/>
        <v>30</v>
      </c>
      <c r="M14" s="24">
        <f t="shared" si="0"/>
        <v>142.6</v>
      </c>
      <c r="N14" s="48">
        <v>0.41</v>
      </c>
      <c r="O14" s="24">
        <f t="shared" si="1"/>
        <v>58.5</v>
      </c>
      <c r="P14" s="24">
        <f t="shared" si="15"/>
        <v>201.1</v>
      </c>
      <c r="Q14" s="24">
        <f t="shared" si="16"/>
        <v>160.9</v>
      </c>
      <c r="R14" s="24">
        <f t="shared" si="2"/>
        <v>160.9</v>
      </c>
      <c r="S14" s="24">
        <f t="shared" si="17"/>
        <v>16.7</v>
      </c>
      <c r="T14" s="49">
        <f t="shared" si="3"/>
        <v>539.6</v>
      </c>
      <c r="U14" s="1532"/>
      <c r="V14" s="49">
        <f>T14*$U$9</f>
        <v>539.6</v>
      </c>
      <c r="W14" s="49">
        <f t="shared" si="21"/>
        <v>163</v>
      </c>
      <c r="X14" s="278">
        <v>1</v>
      </c>
      <c r="Y14" s="24">
        <v>30</v>
      </c>
      <c r="Z14" s="48">
        <f t="shared" si="4"/>
        <v>30</v>
      </c>
      <c r="AA14" s="278">
        <v>1</v>
      </c>
      <c r="AB14" s="24">
        <v>15</v>
      </c>
      <c r="AC14" s="48">
        <f t="shared" si="5"/>
        <v>15</v>
      </c>
      <c r="AD14" s="278">
        <v>1</v>
      </c>
      <c r="AE14" s="24">
        <v>30</v>
      </c>
      <c r="AF14" s="48">
        <f t="shared" si="6"/>
        <v>30</v>
      </c>
      <c r="AG14" s="48">
        <f t="shared" si="7"/>
        <v>22.5</v>
      </c>
      <c r="AH14" s="48">
        <f t="shared" si="8"/>
        <v>97.5</v>
      </c>
      <c r="AI14" s="34">
        <f t="shared" si="9"/>
        <v>44966.7</v>
      </c>
      <c r="AJ14" s="34">
        <f t="shared" si="10"/>
        <v>539.6</v>
      </c>
      <c r="AK14" s="50">
        <f t="shared" si="19"/>
        <v>118.7</v>
      </c>
      <c r="AL14" s="50">
        <f t="shared" si="22"/>
        <v>26.4</v>
      </c>
      <c r="AM14" s="50">
        <f t="shared" si="11"/>
        <v>28.6</v>
      </c>
      <c r="AN14" s="50">
        <f t="shared" si="20"/>
        <v>173.7</v>
      </c>
      <c r="AP14" s="51"/>
    </row>
    <row r="15" spans="1:42" ht="27" customHeight="1" x14ac:dyDescent="0.25">
      <c r="A15" s="278">
        <v>7</v>
      </c>
      <c r="B15" s="52" t="s">
        <v>22</v>
      </c>
      <c r="C15" s="278">
        <v>1</v>
      </c>
      <c r="D15" s="53">
        <v>11.061999999999999</v>
      </c>
      <c r="E15" s="46">
        <f>C15*D15</f>
        <v>11.06</v>
      </c>
      <c r="F15" s="47">
        <f>E15*12</f>
        <v>132.69999999999999</v>
      </c>
      <c r="G15" s="24"/>
      <c r="H15" s="24">
        <f>1078.5/1000</f>
        <v>1.1000000000000001</v>
      </c>
      <c r="I15" s="24"/>
      <c r="J15" s="24"/>
      <c r="K15" s="24">
        <f>F15*0.4</f>
        <v>53.1</v>
      </c>
      <c r="L15" s="24">
        <f t="shared" si="12"/>
        <v>42.8</v>
      </c>
      <c r="M15" s="24">
        <f>F15+G15+H15+I15+J15+K15+L15</f>
        <v>229.7</v>
      </c>
      <c r="N15" s="48">
        <v>0.43</v>
      </c>
      <c r="O15" s="24">
        <f>M15*N15</f>
        <v>98.8</v>
      </c>
      <c r="P15" s="24">
        <f>M15+O15</f>
        <v>328.5</v>
      </c>
      <c r="Q15" s="24">
        <f>P15*0.8</f>
        <v>262.8</v>
      </c>
      <c r="R15" s="24">
        <f>P15*0.8</f>
        <v>262.8</v>
      </c>
      <c r="S15" s="24">
        <f>(P15+Q15+R15)*0.032</f>
        <v>27.3</v>
      </c>
      <c r="T15" s="49">
        <f>P15+Q15+R15+S15</f>
        <v>881.4</v>
      </c>
      <c r="U15" s="1532"/>
      <c r="V15" s="49">
        <f>T15*$U$9</f>
        <v>881.4</v>
      </c>
      <c r="W15" s="49">
        <f>AN15</f>
        <v>265.7</v>
      </c>
      <c r="X15" s="278">
        <v>1</v>
      </c>
      <c r="Y15" s="24">
        <v>30</v>
      </c>
      <c r="Z15" s="48">
        <f>X15*Y15</f>
        <v>30</v>
      </c>
      <c r="AA15" s="278"/>
      <c r="AB15" s="24">
        <v>15</v>
      </c>
      <c r="AC15" s="48">
        <f>AA15*AB15</f>
        <v>0</v>
      </c>
      <c r="AD15" s="278"/>
      <c r="AE15" s="24">
        <v>30</v>
      </c>
      <c r="AF15" s="48">
        <f>AD15*AE15</f>
        <v>0</v>
      </c>
      <c r="AG15" s="48">
        <f>(Z15+AC15+AF15)*1%*30</f>
        <v>9</v>
      </c>
      <c r="AH15" s="48">
        <f>Z15+AC15+AF15+AG15</f>
        <v>39</v>
      </c>
      <c r="AI15" s="34">
        <f t="shared" si="9"/>
        <v>73450</v>
      </c>
      <c r="AJ15" s="34">
        <f t="shared" si="10"/>
        <v>881.4</v>
      </c>
      <c r="AK15" s="50">
        <f t="shared" si="19"/>
        <v>193.9</v>
      </c>
      <c r="AL15" s="50">
        <f>865*0.029*C15</f>
        <v>25.1</v>
      </c>
      <c r="AM15" s="50">
        <f t="shared" si="11"/>
        <v>46.7</v>
      </c>
      <c r="AN15" s="50">
        <f>SUM(AK15:AM15)</f>
        <v>265.7</v>
      </c>
      <c r="AP15" s="51"/>
    </row>
    <row r="16" spans="1:42" ht="27" customHeight="1" x14ac:dyDescent="0.25">
      <c r="A16" s="278">
        <v>8</v>
      </c>
      <c r="B16" s="52" t="s">
        <v>28</v>
      </c>
      <c r="C16" s="54">
        <v>5</v>
      </c>
      <c r="D16" s="53">
        <v>9.593</v>
      </c>
      <c r="E16" s="46">
        <f t="shared" si="13"/>
        <v>47.97</v>
      </c>
      <c r="F16" s="47">
        <f t="shared" si="14"/>
        <v>575.6</v>
      </c>
      <c r="G16" s="24"/>
      <c r="H16" s="24">
        <f>4.78</f>
        <v>4.8</v>
      </c>
      <c r="I16" s="24"/>
      <c r="J16" s="24"/>
      <c r="K16" s="24">
        <f>D16*0.2*2*12+D16*0.05*5.5+D16*0.2*7.5</f>
        <v>63.1</v>
      </c>
      <c r="L16" s="24">
        <f t="shared" si="12"/>
        <v>185.4</v>
      </c>
      <c r="M16" s="24">
        <f t="shared" si="0"/>
        <v>828.9</v>
      </c>
      <c r="N16" s="48">
        <v>0.43</v>
      </c>
      <c r="O16" s="24">
        <f t="shared" si="1"/>
        <v>356.4</v>
      </c>
      <c r="P16" s="24">
        <f t="shared" si="15"/>
        <v>1185.3</v>
      </c>
      <c r="Q16" s="24">
        <f t="shared" si="16"/>
        <v>948.2</v>
      </c>
      <c r="R16" s="24">
        <f t="shared" si="2"/>
        <v>948.2</v>
      </c>
      <c r="S16" s="24">
        <f t="shared" si="17"/>
        <v>98.6</v>
      </c>
      <c r="T16" s="49">
        <f t="shared" si="3"/>
        <v>3180.3</v>
      </c>
      <c r="U16" s="1532"/>
      <c r="V16" s="49">
        <f>T16*$U$9</f>
        <v>3180.3</v>
      </c>
      <c r="W16" s="49">
        <f t="shared" si="21"/>
        <v>960.5</v>
      </c>
      <c r="X16" s="278"/>
      <c r="Y16" s="24">
        <v>30</v>
      </c>
      <c r="Z16" s="48">
        <f t="shared" si="4"/>
        <v>0</v>
      </c>
      <c r="AA16" s="278"/>
      <c r="AB16" s="24">
        <v>15</v>
      </c>
      <c r="AC16" s="48">
        <f t="shared" si="5"/>
        <v>0</v>
      </c>
      <c r="AD16" s="278"/>
      <c r="AE16" s="24">
        <v>30</v>
      </c>
      <c r="AF16" s="48">
        <f t="shared" si="6"/>
        <v>0</v>
      </c>
      <c r="AG16" s="48">
        <f t="shared" si="7"/>
        <v>0</v>
      </c>
      <c r="AH16" s="48">
        <f t="shared" si="8"/>
        <v>0</v>
      </c>
      <c r="AI16" s="34">
        <f t="shared" si="9"/>
        <v>53005</v>
      </c>
      <c r="AJ16" s="34">
        <f t="shared" si="10"/>
        <v>636.1</v>
      </c>
      <c r="AK16" s="50">
        <f t="shared" si="19"/>
        <v>699.7</v>
      </c>
      <c r="AL16" s="50">
        <f t="shared" si="22"/>
        <v>132.19999999999999</v>
      </c>
      <c r="AM16" s="50">
        <f t="shared" si="11"/>
        <v>168.6</v>
      </c>
      <c r="AN16" s="50">
        <f t="shared" si="20"/>
        <v>1000.5</v>
      </c>
      <c r="AP16" s="51"/>
    </row>
    <row r="17" spans="1:42" ht="27" customHeight="1" x14ac:dyDescent="0.25">
      <c r="A17" s="278">
        <v>9</v>
      </c>
      <c r="B17" s="52" t="s">
        <v>24</v>
      </c>
      <c r="C17" s="54">
        <v>15</v>
      </c>
      <c r="D17" s="53">
        <v>8.5419999999999998</v>
      </c>
      <c r="E17" s="46">
        <f t="shared" si="13"/>
        <v>128.13</v>
      </c>
      <c r="F17" s="47">
        <f t="shared" si="14"/>
        <v>1537.6</v>
      </c>
      <c r="G17" s="24"/>
      <c r="H17" s="24">
        <f>14.25</f>
        <v>14.3</v>
      </c>
      <c r="I17" s="24"/>
      <c r="J17" s="24"/>
      <c r="K17" s="24">
        <f>D17*0.2*8*12+D17*0.25*12+D17*0.05*12+D17*0.3*12</f>
        <v>225.5</v>
      </c>
      <c r="L17" s="24">
        <f t="shared" si="12"/>
        <v>495.4</v>
      </c>
      <c r="M17" s="24">
        <f t="shared" si="0"/>
        <v>2272.8000000000002</v>
      </c>
      <c r="N17" s="48">
        <v>0.4</v>
      </c>
      <c r="O17" s="24">
        <f t="shared" si="1"/>
        <v>909.1</v>
      </c>
      <c r="P17" s="24">
        <f t="shared" si="15"/>
        <v>3181.9</v>
      </c>
      <c r="Q17" s="24">
        <f t="shared" si="16"/>
        <v>2545.5</v>
      </c>
      <c r="R17" s="24">
        <f t="shared" si="2"/>
        <v>2545.5</v>
      </c>
      <c r="S17" s="24">
        <f t="shared" si="17"/>
        <v>264.7</v>
      </c>
      <c r="T17" s="49">
        <f t="shared" si="3"/>
        <v>8537.6</v>
      </c>
      <c r="U17" s="1532"/>
      <c r="V17" s="49">
        <f t="shared" si="18"/>
        <v>8537.6</v>
      </c>
      <c r="W17" s="49">
        <f t="shared" si="21"/>
        <v>2578.4</v>
      </c>
      <c r="X17" s="278">
        <v>10</v>
      </c>
      <c r="Y17" s="24">
        <v>30</v>
      </c>
      <c r="Z17" s="48">
        <f t="shared" si="4"/>
        <v>300</v>
      </c>
      <c r="AA17" s="278">
        <v>3</v>
      </c>
      <c r="AB17" s="24">
        <v>15</v>
      </c>
      <c r="AC17" s="48">
        <f t="shared" si="5"/>
        <v>45</v>
      </c>
      <c r="AD17" s="278">
        <v>2</v>
      </c>
      <c r="AE17" s="24">
        <v>30</v>
      </c>
      <c r="AF17" s="48">
        <f t="shared" si="6"/>
        <v>60</v>
      </c>
      <c r="AG17" s="48">
        <f>(Z17+AC17+AF17)*1%*30</f>
        <v>121.5</v>
      </c>
      <c r="AH17" s="48">
        <f t="shared" si="8"/>
        <v>526.5</v>
      </c>
      <c r="AI17" s="34">
        <f t="shared" si="9"/>
        <v>47431.1</v>
      </c>
      <c r="AJ17" s="34">
        <f t="shared" si="10"/>
        <v>569.20000000000005</v>
      </c>
      <c r="AK17" s="50">
        <f t="shared" si="19"/>
        <v>1878.3</v>
      </c>
      <c r="AL17" s="50">
        <f t="shared" si="22"/>
        <v>396.7</v>
      </c>
      <c r="AM17" s="50">
        <f t="shared" si="11"/>
        <v>452.5</v>
      </c>
      <c r="AN17" s="50">
        <f t="shared" si="20"/>
        <v>2727.5</v>
      </c>
      <c r="AP17" s="51"/>
    </row>
    <row r="18" spans="1:42" ht="27" customHeight="1" x14ac:dyDescent="0.25">
      <c r="A18" s="278">
        <v>10</v>
      </c>
      <c r="B18" s="55" t="s">
        <v>26</v>
      </c>
      <c r="C18" s="56">
        <v>16</v>
      </c>
      <c r="D18" s="53">
        <v>4.3109999999999999</v>
      </c>
      <c r="E18" s="46">
        <f>C18*D18</f>
        <v>68.98</v>
      </c>
      <c r="F18" s="47">
        <f>E18*12</f>
        <v>827.8</v>
      </c>
      <c r="G18" s="24"/>
      <c r="H18" s="24">
        <f>27739.8/1000</f>
        <v>27.7</v>
      </c>
      <c r="I18" s="24"/>
      <c r="J18" s="24"/>
      <c r="K18" s="24"/>
      <c r="L18" s="24">
        <v>390</v>
      </c>
      <c r="M18" s="24">
        <f>F18+G18+H18+I18+J18+K18+L18</f>
        <v>1245.5</v>
      </c>
      <c r="N18" s="48">
        <v>0.75</v>
      </c>
      <c r="O18" s="24">
        <f>M18*N18</f>
        <v>934.1</v>
      </c>
      <c r="P18" s="24">
        <f>M18+O18</f>
        <v>2179.6</v>
      </c>
      <c r="Q18" s="24">
        <f>P18*0.8</f>
        <v>1743.7</v>
      </c>
      <c r="R18" s="24">
        <f>P18*0.8</f>
        <v>1743.7</v>
      </c>
      <c r="S18" s="24">
        <f>(P18+Q18+R18)*0.032</f>
        <v>181.3</v>
      </c>
      <c r="T18" s="49">
        <f>P18+Q18+R18+S18</f>
        <v>5848.3</v>
      </c>
      <c r="U18" s="1532"/>
      <c r="V18" s="49">
        <f>T18*$U$9</f>
        <v>5848.3</v>
      </c>
      <c r="W18" s="49">
        <f t="shared" si="21"/>
        <v>1766.2</v>
      </c>
      <c r="X18" s="278">
        <v>7</v>
      </c>
      <c r="Y18" s="24">
        <v>30</v>
      </c>
      <c r="Z18" s="48">
        <f>X18*Y18</f>
        <v>210</v>
      </c>
      <c r="AA18" s="278">
        <v>2</v>
      </c>
      <c r="AB18" s="24">
        <v>15</v>
      </c>
      <c r="AC18" s="48">
        <f>AA18*AB18</f>
        <v>30</v>
      </c>
      <c r="AD18" s="278">
        <v>1</v>
      </c>
      <c r="AE18" s="24">
        <v>30</v>
      </c>
      <c r="AF18" s="48">
        <f>AD18*AE18</f>
        <v>30</v>
      </c>
      <c r="AG18" s="48">
        <f>(Z18+AC18+AF18)*1%*30</f>
        <v>81</v>
      </c>
      <c r="AH18" s="48">
        <f>Z18+AC18+AF18+AG18</f>
        <v>351</v>
      </c>
      <c r="AI18" s="34">
        <f t="shared" si="9"/>
        <v>30459.9</v>
      </c>
      <c r="AJ18" s="34">
        <f t="shared" si="10"/>
        <v>365.5</v>
      </c>
      <c r="AK18" s="50">
        <f t="shared" si="19"/>
        <v>1286.5999999999999</v>
      </c>
      <c r="AL18" s="50">
        <f t="shared" si="22"/>
        <v>423.2</v>
      </c>
      <c r="AM18" s="50">
        <f t="shared" si="11"/>
        <v>310</v>
      </c>
      <c r="AN18" s="50">
        <f t="shared" si="20"/>
        <v>2019.8</v>
      </c>
      <c r="AP18" s="51"/>
    </row>
    <row r="19" spans="1:42" ht="27" customHeight="1" x14ac:dyDescent="0.25">
      <c r="A19" s="278">
        <v>11</v>
      </c>
      <c r="B19" s="55" t="s">
        <v>50</v>
      </c>
      <c r="C19" s="57">
        <v>2</v>
      </c>
      <c r="D19" s="53">
        <v>8.4730000000000008</v>
      </c>
      <c r="E19" s="46">
        <f t="shared" si="13"/>
        <v>16.95</v>
      </c>
      <c r="F19" s="47">
        <f t="shared" si="14"/>
        <v>203.4</v>
      </c>
      <c r="G19" s="24"/>
      <c r="H19" s="24">
        <f>1652.1/1000</f>
        <v>1.7</v>
      </c>
      <c r="I19" s="24"/>
      <c r="J19" s="24"/>
      <c r="K19" s="24">
        <f>D19*0.25*12+D19*0.2*12</f>
        <v>45.8</v>
      </c>
      <c r="L19" s="24">
        <f t="shared" si="12"/>
        <v>65.5</v>
      </c>
      <c r="M19" s="24">
        <f t="shared" si="0"/>
        <v>316.39999999999998</v>
      </c>
      <c r="N19" s="48">
        <v>0.41</v>
      </c>
      <c r="O19" s="24">
        <f t="shared" si="1"/>
        <v>129.69999999999999</v>
      </c>
      <c r="P19" s="24">
        <f t="shared" si="15"/>
        <v>446.1</v>
      </c>
      <c r="Q19" s="24">
        <f t="shared" si="16"/>
        <v>356.9</v>
      </c>
      <c r="R19" s="24">
        <f t="shared" si="2"/>
        <v>356.9</v>
      </c>
      <c r="S19" s="24">
        <f t="shared" si="17"/>
        <v>37.1</v>
      </c>
      <c r="T19" s="49">
        <f t="shared" si="3"/>
        <v>1197</v>
      </c>
      <c r="U19" s="1532"/>
      <c r="V19" s="49">
        <f t="shared" si="18"/>
        <v>1197</v>
      </c>
      <c r="W19" s="49">
        <f t="shared" si="21"/>
        <v>361.5</v>
      </c>
      <c r="X19" s="278">
        <v>2</v>
      </c>
      <c r="Y19" s="24">
        <v>30</v>
      </c>
      <c r="Z19" s="48">
        <f t="shared" si="4"/>
        <v>60</v>
      </c>
      <c r="AA19" s="278"/>
      <c r="AB19" s="24">
        <v>15</v>
      </c>
      <c r="AC19" s="48">
        <f t="shared" si="5"/>
        <v>0</v>
      </c>
      <c r="AD19" s="278"/>
      <c r="AE19" s="24">
        <v>30</v>
      </c>
      <c r="AF19" s="48">
        <f t="shared" si="6"/>
        <v>0</v>
      </c>
      <c r="AG19" s="48">
        <f t="shared" si="7"/>
        <v>18</v>
      </c>
      <c r="AH19" s="48">
        <f t="shared" si="8"/>
        <v>78</v>
      </c>
      <c r="AI19" s="34">
        <f t="shared" si="9"/>
        <v>49875</v>
      </c>
      <c r="AJ19" s="34">
        <f t="shared" si="10"/>
        <v>598.5</v>
      </c>
      <c r="AK19" s="50">
        <f t="shared" si="19"/>
        <v>263.3</v>
      </c>
      <c r="AL19" s="50">
        <f t="shared" si="22"/>
        <v>52.9</v>
      </c>
      <c r="AM19" s="50">
        <f t="shared" si="11"/>
        <v>63.4</v>
      </c>
      <c r="AN19" s="50">
        <f t="shared" si="20"/>
        <v>379.6</v>
      </c>
      <c r="AP19" s="51"/>
    </row>
    <row r="20" spans="1:42" ht="27" customHeight="1" x14ac:dyDescent="0.25">
      <c r="A20" s="278">
        <v>12</v>
      </c>
      <c r="B20" s="52" t="s">
        <v>18</v>
      </c>
      <c r="C20" s="47">
        <v>1</v>
      </c>
      <c r="D20" s="53">
        <v>8.4730000000000008</v>
      </c>
      <c r="E20" s="46">
        <f t="shared" si="13"/>
        <v>8.4700000000000006</v>
      </c>
      <c r="F20" s="47">
        <f t="shared" si="14"/>
        <v>101.6</v>
      </c>
      <c r="G20" s="24"/>
      <c r="H20" s="24">
        <f>826.1/1000</f>
        <v>0.8</v>
      </c>
      <c r="I20" s="24"/>
      <c r="J20" s="24"/>
      <c r="K20" s="24">
        <f>D20*0.35*12+D20*0.05*9</f>
        <v>39.4</v>
      </c>
      <c r="L20" s="24">
        <f t="shared" si="12"/>
        <v>32.700000000000003</v>
      </c>
      <c r="M20" s="24">
        <f t="shared" si="0"/>
        <v>174.5</v>
      </c>
      <c r="N20" s="48">
        <v>0.41</v>
      </c>
      <c r="O20" s="24">
        <f t="shared" si="1"/>
        <v>71.5</v>
      </c>
      <c r="P20" s="24">
        <f t="shared" si="15"/>
        <v>246</v>
      </c>
      <c r="Q20" s="24">
        <f t="shared" si="16"/>
        <v>196.8</v>
      </c>
      <c r="R20" s="24">
        <f t="shared" si="2"/>
        <v>196.8</v>
      </c>
      <c r="S20" s="24">
        <f t="shared" si="17"/>
        <v>20.5</v>
      </c>
      <c r="T20" s="49">
        <f t="shared" si="3"/>
        <v>660.1</v>
      </c>
      <c r="U20" s="1532"/>
      <c r="V20" s="49">
        <f t="shared" si="18"/>
        <v>660.1</v>
      </c>
      <c r="W20" s="49">
        <f t="shared" si="21"/>
        <v>199.4</v>
      </c>
      <c r="X20" s="278"/>
      <c r="Y20" s="24">
        <v>30</v>
      </c>
      <c r="Z20" s="48">
        <f t="shared" si="4"/>
        <v>0</v>
      </c>
      <c r="AA20" s="278"/>
      <c r="AB20" s="24">
        <v>15</v>
      </c>
      <c r="AC20" s="48">
        <f t="shared" si="5"/>
        <v>0</v>
      </c>
      <c r="AD20" s="278"/>
      <c r="AE20" s="24">
        <v>30</v>
      </c>
      <c r="AF20" s="48">
        <f t="shared" si="6"/>
        <v>0</v>
      </c>
      <c r="AG20" s="48">
        <f t="shared" si="7"/>
        <v>0</v>
      </c>
      <c r="AH20" s="48">
        <f t="shared" si="8"/>
        <v>0</v>
      </c>
      <c r="AI20" s="34">
        <f t="shared" si="9"/>
        <v>55008.3</v>
      </c>
      <c r="AJ20" s="34">
        <f t="shared" si="10"/>
        <v>660.1</v>
      </c>
      <c r="AK20" s="50">
        <f t="shared" si="19"/>
        <v>145.19999999999999</v>
      </c>
      <c r="AL20" s="50">
        <f t="shared" si="22"/>
        <v>26.4</v>
      </c>
      <c r="AM20" s="50">
        <f t="shared" si="11"/>
        <v>35</v>
      </c>
      <c r="AN20" s="50">
        <f t="shared" si="20"/>
        <v>206.6</v>
      </c>
      <c r="AP20" s="51"/>
    </row>
    <row r="21" spans="1:42" ht="27" customHeight="1" x14ac:dyDescent="0.25">
      <c r="A21" s="278">
        <v>13</v>
      </c>
      <c r="B21" s="52" t="s">
        <v>106</v>
      </c>
      <c r="C21" s="47">
        <v>1</v>
      </c>
      <c r="D21" s="53">
        <v>8.4730000000000008</v>
      </c>
      <c r="E21" s="46">
        <f t="shared" si="13"/>
        <v>8.4700000000000006</v>
      </c>
      <c r="F21" s="47">
        <f t="shared" si="14"/>
        <v>101.6</v>
      </c>
      <c r="G21" s="24"/>
      <c r="H21" s="24">
        <f>917.9/1000</f>
        <v>0.9</v>
      </c>
      <c r="I21" s="24"/>
      <c r="J21" s="24"/>
      <c r="K21" s="24"/>
      <c r="L21" s="24">
        <f t="shared" si="12"/>
        <v>32.700000000000003</v>
      </c>
      <c r="M21" s="24">
        <f t="shared" si="0"/>
        <v>135.19999999999999</v>
      </c>
      <c r="N21" s="48">
        <v>0.47</v>
      </c>
      <c r="O21" s="24">
        <f t="shared" si="1"/>
        <v>63.5</v>
      </c>
      <c r="P21" s="24">
        <f t="shared" si="15"/>
        <v>198.7</v>
      </c>
      <c r="Q21" s="24">
        <f t="shared" si="16"/>
        <v>159</v>
      </c>
      <c r="R21" s="24">
        <f t="shared" si="2"/>
        <v>159</v>
      </c>
      <c r="S21" s="24">
        <f t="shared" si="17"/>
        <v>16.5</v>
      </c>
      <c r="T21" s="49">
        <f t="shared" si="3"/>
        <v>533.20000000000005</v>
      </c>
      <c r="U21" s="1532"/>
      <c r="V21" s="49">
        <f t="shared" si="18"/>
        <v>533.20000000000005</v>
      </c>
      <c r="W21" s="49">
        <f t="shared" si="21"/>
        <v>161</v>
      </c>
      <c r="X21" s="278"/>
      <c r="Y21" s="24">
        <v>30</v>
      </c>
      <c r="Z21" s="48">
        <f t="shared" si="4"/>
        <v>0</v>
      </c>
      <c r="AA21" s="278"/>
      <c r="AB21" s="24">
        <v>15</v>
      </c>
      <c r="AC21" s="48">
        <f t="shared" si="5"/>
        <v>0</v>
      </c>
      <c r="AD21" s="278"/>
      <c r="AE21" s="24">
        <v>30</v>
      </c>
      <c r="AF21" s="48">
        <f t="shared" si="6"/>
        <v>0</v>
      </c>
      <c r="AG21" s="48">
        <f t="shared" si="7"/>
        <v>0</v>
      </c>
      <c r="AH21" s="48">
        <f t="shared" si="8"/>
        <v>0</v>
      </c>
      <c r="AI21" s="34">
        <f t="shared" si="9"/>
        <v>44433.3</v>
      </c>
      <c r="AJ21" s="34">
        <f t="shared" si="10"/>
        <v>533.20000000000005</v>
      </c>
      <c r="AK21" s="50">
        <f t="shared" si="19"/>
        <v>117.3</v>
      </c>
      <c r="AL21" s="50">
        <f t="shared" si="22"/>
        <v>26.4</v>
      </c>
      <c r="AM21" s="50">
        <f t="shared" si="11"/>
        <v>28.3</v>
      </c>
      <c r="AN21" s="50">
        <f t="shared" si="20"/>
        <v>172</v>
      </c>
      <c r="AP21" s="51"/>
    </row>
    <row r="22" spans="1:42" ht="23.25" customHeight="1" x14ac:dyDescent="0.25">
      <c r="A22" s="278">
        <v>14</v>
      </c>
      <c r="B22" s="52" t="s">
        <v>29</v>
      </c>
      <c r="C22" s="57">
        <v>1</v>
      </c>
      <c r="D22" s="53">
        <v>8.4730000000000008</v>
      </c>
      <c r="E22" s="46">
        <f>C22*D22</f>
        <v>8.4700000000000006</v>
      </c>
      <c r="F22" s="47">
        <f>E22*12</f>
        <v>101.6</v>
      </c>
      <c r="G22" s="24"/>
      <c r="H22" s="24">
        <f>1239.1/1000</f>
        <v>1.2</v>
      </c>
      <c r="I22" s="24"/>
      <c r="J22" s="24"/>
      <c r="K22" s="24">
        <f>D22*0.4*12</f>
        <v>40.700000000000003</v>
      </c>
      <c r="L22" s="24">
        <f t="shared" si="12"/>
        <v>32.700000000000003</v>
      </c>
      <c r="M22" s="24">
        <f>F22+G22+H22+I22+J22+K22+L22</f>
        <v>176.2</v>
      </c>
      <c r="N22" s="48">
        <v>0.41</v>
      </c>
      <c r="O22" s="24">
        <f t="shared" si="1"/>
        <v>72.2</v>
      </c>
      <c r="P22" s="24">
        <f t="shared" si="15"/>
        <v>248.4</v>
      </c>
      <c r="Q22" s="24">
        <f t="shared" si="16"/>
        <v>198.7</v>
      </c>
      <c r="R22" s="24">
        <f t="shared" si="2"/>
        <v>198.7</v>
      </c>
      <c r="S22" s="24">
        <f t="shared" si="17"/>
        <v>20.7</v>
      </c>
      <c r="T22" s="49">
        <f t="shared" si="3"/>
        <v>666.5</v>
      </c>
      <c r="U22" s="1532"/>
      <c r="V22" s="49">
        <f t="shared" si="18"/>
        <v>666.5</v>
      </c>
      <c r="W22" s="49">
        <f t="shared" si="21"/>
        <v>201.3</v>
      </c>
      <c r="X22" s="278">
        <v>2</v>
      </c>
      <c r="Y22" s="24">
        <v>30</v>
      </c>
      <c r="Z22" s="48">
        <f t="shared" si="4"/>
        <v>60</v>
      </c>
      <c r="AA22" s="278">
        <v>1</v>
      </c>
      <c r="AB22" s="24">
        <v>15</v>
      </c>
      <c r="AC22" s="48">
        <f t="shared" si="5"/>
        <v>15</v>
      </c>
      <c r="AD22" s="278"/>
      <c r="AE22" s="24">
        <v>30</v>
      </c>
      <c r="AF22" s="48">
        <f t="shared" si="6"/>
        <v>0</v>
      </c>
      <c r="AG22" s="48">
        <f t="shared" si="7"/>
        <v>22.5</v>
      </c>
      <c r="AH22" s="48">
        <f t="shared" si="8"/>
        <v>97.5</v>
      </c>
      <c r="AI22" s="34">
        <f t="shared" si="9"/>
        <v>55541.7</v>
      </c>
      <c r="AJ22" s="34">
        <f t="shared" si="10"/>
        <v>666.5</v>
      </c>
      <c r="AK22" s="50">
        <f t="shared" si="19"/>
        <v>146.6</v>
      </c>
      <c r="AL22" s="50">
        <f t="shared" si="22"/>
        <v>26.4</v>
      </c>
      <c r="AM22" s="50">
        <f t="shared" si="11"/>
        <v>35.299999999999997</v>
      </c>
      <c r="AN22" s="50">
        <f t="shared" si="20"/>
        <v>208.3</v>
      </c>
      <c r="AP22" s="51"/>
    </row>
    <row r="23" spans="1:42" ht="23.25" customHeight="1" x14ac:dyDescent="0.25">
      <c r="A23" s="278">
        <v>15</v>
      </c>
      <c r="B23" s="52" t="s">
        <v>20</v>
      </c>
      <c r="C23" s="47">
        <v>0.5</v>
      </c>
      <c r="D23" s="53">
        <v>8.4730000000000008</v>
      </c>
      <c r="E23" s="46">
        <f>C23*D23</f>
        <v>4.24</v>
      </c>
      <c r="F23" s="47">
        <f>E23*12</f>
        <v>50.9</v>
      </c>
      <c r="G23" s="24"/>
      <c r="H23" s="24"/>
      <c r="I23" s="24"/>
      <c r="J23" s="24"/>
      <c r="K23" s="24"/>
      <c r="L23" s="24">
        <f t="shared" si="12"/>
        <v>16.399999999999999</v>
      </c>
      <c r="M23" s="24">
        <f>F23+G23+H23+I23+J23+K23+L23</f>
        <v>67.3</v>
      </c>
      <c r="N23" s="48">
        <v>0.41</v>
      </c>
      <c r="O23" s="24">
        <f t="shared" si="1"/>
        <v>27.6</v>
      </c>
      <c r="P23" s="24">
        <f t="shared" si="15"/>
        <v>94.9</v>
      </c>
      <c r="Q23" s="24">
        <f t="shared" si="16"/>
        <v>75.900000000000006</v>
      </c>
      <c r="R23" s="24">
        <f t="shared" si="2"/>
        <v>75.900000000000006</v>
      </c>
      <c r="S23" s="24">
        <f t="shared" si="17"/>
        <v>7.9</v>
      </c>
      <c r="T23" s="49">
        <f t="shared" si="3"/>
        <v>254.6</v>
      </c>
      <c r="U23" s="1532"/>
      <c r="V23" s="49">
        <f t="shared" si="18"/>
        <v>254.6</v>
      </c>
      <c r="W23" s="49">
        <f t="shared" si="21"/>
        <v>76.900000000000006</v>
      </c>
      <c r="X23" s="278"/>
      <c r="Y23" s="24">
        <v>30</v>
      </c>
      <c r="Z23" s="48">
        <f t="shared" si="4"/>
        <v>0</v>
      </c>
      <c r="AA23" s="278"/>
      <c r="AB23" s="24">
        <v>15</v>
      </c>
      <c r="AC23" s="48">
        <f t="shared" si="5"/>
        <v>0</v>
      </c>
      <c r="AD23" s="278"/>
      <c r="AE23" s="24">
        <v>30</v>
      </c>
      <c r="AF23" s="48">
        <f t="shared" si="6"/>
        <v>0</v>
      </c>
      <c r="AG23" s="48">
        <f t="shared" si="7"/>
        <v>0</v>
      </c>
      <c r="AH23" s="48">
        <f t="shared" si="8"/>
        <v>0</v>
      </c>
      <c r="AI23" s="34">
        <f t="shared" si="9"/>
        <v>42433.3</v>
      </c>
      <c r="AJ23" s="34">
        <f t="shared" si="10"/>
        <v>509.2</v>
      </c>
      <c r="AK23" s="50">
        <f t="shared" si="19"/>
        <v>56</v>
      </c>
      <c r="AL23" s="50">
        <f t="shared" si="22"/>
        <v>13.2</v>
      </c>
      <c r="AM23" s="50">
        <f t="shared" si="11"/>
        <v>13.5</v>
      </c>
      <c r="AN23" s="50">
        <f t="shared" si="20"/>
        <v>82.7</v>
      </c>
      <c r="AP23" s="51"/>
    </row>
    <row r="24" spans="1:42" ht="23.25" customHeight="1" x14ac:dyDescent="0.25">
      <c r="A24" s="278">
        <v>16</v>
      </c>
      <c r="B24" s="52" t="s">
        <v>30</v>
      </c>
      <c r="C24" s="57">
        <v>2</v>
      </c>
      <c r="D24" s="53">
        <v>8.4730000000000008</v>
      </c>
      <c r="E24" s="46">
        <f>C24*D24</f>
        <v>16.95</v>
      </c>
      <c r="F24" s="47">
        <f>E24*12</f>
        <v>203.4</v>
      </c>
      <c r="G24" s="24"/>
      <c r="H24" s="24">
        <f>1652.1/1000</f>
        <v>1.7</v>
      </c>
      <c r="I24" s="24"/>
      <c r="J24" s="24"/>
      <c r="K24" s="24">
        <f>D24*0.3*12+D24*0.25*12+D24*0.05*1</f>
        <v>56.3</v>
      </c>
      <c r="L24" s="24">
        <f t="shared" si="12"/>
        <v>65.5</v>
      </c>
      <c r="M24" s="24">
        <f>F24+G24+H24+I24+J24+K24+L24</f>
        <v>326.89999999999998</v>
      </c>
      <c r="N24" s="48">
        <v>0.41</v>
      </c>
      <c r="O24" s="24">
        <f t="shared" si="1"/>
        <v>134</v>
      </c>
      <c r="P24" s="24">
        <f t="shared" si="15"/>
        <v>460.9</v>
      </c>
      <c r="Q24" s="24">
        <f t="shared" si="16"/>
        <v>368.7</v>
      </c>
      <c r="R24" s="24">
        <f t="shared" si="2"/>
        <v>368.7</v>
      </c>
      <c r="S24" s="24">
        <f t="shared" si="17"/>
        <v>38.299999999999997</v>
      </c>
      <c r="T24" s="49">
        <f t="shared" si="3"/>
        <v>1236.5999999999999</v>
      </c>
      <c r="U24" s="1532"/>
      <c r="V24" s="49">
        <f t="shared" si="18"/>
        <v>1236.5999999999999</v>
      </c>
      <c r="W24" s="49">
        <f t="shared" si="21"/>
        <v>373.5</v>
      </c>
      <c r="X24" s="278"/>
      <c r="Y24" s="24">
        <v>30</v>
      </c>
      <c r="Z24" s="48">
        <f t="shared" si="4"/>
        <v>0</v>
      </c>
      <c r="AA24" s="278"/>
      <c r="AB24" s="24">
        <v>15</v>
      </c>
      <c r="AC24" s="48">
        <f t="shared" si="5"/>
        <v>0</v>
      </c>
      <c r="AD24" s="278"/>
      <c r="AE24" s="24">
        <v>30</v>
      </c>
      <c r="AF24" s="48">
        <f t="shared" si="6"/>
        <v>0</v>
      </c>
      <c r="AG24" s="48">
        <f t="shared" si="7"/>
        <v>0</v>
      </c>
      <c r="AH24" s="48">
        <f t="shared" si="8"/>
        <v>0</v>
      </c>
      <c r="AI24" s="34">
        <f t="shared" si="9"/>
        <v>51525</v>
      </c>
      <c r="AJ24" s="34">
        <f t="shared" si="10"/>
        <v>618.29999999999995</v>
      </c>
      <c r="AK24" s="50">
        <f t="shared" si="19"/>
        <v>272.10000000000002</v>
      </c>
      <c r="AL24" s="50">
        <f t="shared" si="22"/>
        <v>52.9</v>
      </c>
      <c r="AM24" s="50">
        <f t="shared" si="11"/>
        <v>65.5</v>
      </c>
      <c r="AN24" s="50">
        <f t="shared" si="20"/>
        <v>390.5</v>
      </c>
      <c r="AP24" s="51"/>
    </row>
    <row r="25" spans="1:42" ht="27" customHeight="1" x14ac:dyDescent="0.25">
      <c r="A25" s="278">
        <v>17</v>
      </c>
      <c r="B25" s="52" t="s">
        <v>33</v>
      </c>
      <c r="C25" s="57">
        <v>1</v>
      </c>
      <c r="D25" s="53">
        <v>8.4730000000000008</v>
      </c>
      <c r="E25" s="46">
        <f t="shared" si="13"/>
        <v>8.4700000000000006</v>
      </c>
      <c r="F25" s="47">
        <f t="shared" si="14"/>
        <v>101.6</v>
      </c>
      <c r="G25" s="24"/>
      <c r="H25" s="24">
        <f>826.1/1000</f>
        <v>0.8</v>
      </c>
      <c r="I25" s="24"/>
      <c r="J25" s="24"/>
      <c r="K25" s="24">
        <f>F25*0.2</f>
        <v>20.3</v>
      </c>
      <c r="L25" s="24">
        <f t="shared" si="12"/>
        <v>32.700000000000003</v>
      </c>
      <c r="M25" s="24">
        <f>F25+G25+H25+I25+J25+K25+L25</f>
        <v>155.4</v>
      </c>
      <c r="N25" s="48">
        <v>0.41</v>
      </c>
      <c r="O25" s="24">
        <f t="shared" si="1"/>
        <v>63.7</v>
      </c>
      <c r="P25" s="24">
        <f t="shared" si="15"/>
        <v>219.1</v>
      </c>
      <c r="Q25" s="24">
        <f t="shared" si="16"/>
        <v>175.3</v>
      </c>
      <c r="R25" s="24">
        <f t="shared" si="2"/>
        <v>175.3</v>
      </c>
      <c r="S25" s="24">
        <f t="shared" si="17"/>
        <v>18.2</v>
      </c>
      <c r="T25" s="49">
        <f t="shared" si="3"/>
        <v>587.9</v>
      </c>
      <c r="U25" s="1532"/>
      <c r="V25" s="49">
        <f t="shared" si="18"/>
        <v>587.9</v>
      </c>
      <c r="W25" s="49">
        <f t="shared" si="21"/>
        <v>177.5</v>
      </c>
      <c r="X25" s="278"/>
      <c r="Y25" s="24">
        <v>30</v>
      </c>
      <c r="Z25" s="48">
        <f t="shared" si="4"/>
        <v>0</v>
      </c>
      <c r="AA25" s="278"/>
      <c r="AB25" s="24">
        <v>15</v>
      </c>
      <c r="AC25" s="48">
        <f t="shared" si="5"/>
        <v>0</v>
      </c>
      <c r="AD25" s="278"/>
      <c r="AE25" s="24">
        <v>30</v>
      </c>
      <c r="AF25" s="48">
        <f t="shared" si="6"/>
        <v>0</v>
      </c>
      <c r="AG25" s="48">
        <f t="shared" si="7"/>
        <v>0</v>
      </c>
      <c r="AH25" s="48">
        <f t="shared" si="8"/>
        <v>0</v>
      </c>
      <c r="AI25" s="34">
        <f t="shared" si="9"/>
        <v>48991.7</v>
      </c>
      <c r="AJ25" s="34">
        <f t="shared" si="10"/>
        <v>587.9</v>
      </c>
      <c r="AK25" s="50">
        <f t="shared" si="19"/>
        <v>129.30000000000001</v>
      </c>
      <c r="AL25" s="50">
        <f t="shared" si="22"/>
        <v>26.4</v>
      </c>
      <c r="AM25" s="50">
        <f t="shared" si="11"/>
        <v>31.2</v>
      </c>
      <c r="AN25" s="50">
        <f t="shared" si="20"/>
        <v>186.9</v>
      </c>
      <c r="AP25" s="51"/>
    </row>
    <row r="26" spans="1:42" ht="27" customHeight="1" x14ac:dyDescent="0.25">
      <c r="A26" s="278">
        <v>18</v>
      </c>
      <c r="B26" s="55" t="s">
        <v>92</v>
      </c>
      <c r="C26" s="56">
        <v>3</v>
      </c>
      <c r="D26" s="53">
        <v>4.3769999999999998</v>
      </c>
      <c r="E26" s="46">
        <f t="shared" si="13"/>
        <v>13.13</v>
      </c>
      <c r="F26" s="47">
        <f t="shared" si="14"/>
        <v>157.6</v>
      </c>
      <c r="G26" s="24"/>
      <c r="H26" s="24">
        <f>7681.2/1000</f>
        <v>7.7</v>
      </c>
      <c r="I26" s="24"/>
      <c r="J26" s="24"/>
      <c r="K26" s="24"/>
      <c r="L26" s="24">
        <v>105</v>
      </c>
      <c r="M26" s="24">
        <f t="shared" si="0"/>
        <v>270.3</v>
      </c>
      <c r="N26" s="48">
        <v>0.47</v>
      </c>
      <c r="O26" s="24">
        <f t="shared" si="1"/>
        <v>127</v>
      </c>
      <c r="P26" s="24">
        <f t="shared" si="15"/>
        <v>397.3</v>
      </c>
      <c r="Q26" s="24">
        <f t="shared" si="16"/>
        <v>317.8</v>
      </c>
      <c r="R26" s="24">
        <f t="shared" si="2"/>
        <v>317.8</v>
      </c>
      <c r="S26" s="24">
        <f t="shared" si="17"/>
        <v>33.1</v>
      </c>
      <c r="T26" s="49">
        <f t="shared" si="3"/>
        <v>1066</v>
      </c>
      <c r="U26" s="1532"/>
      <c r="V26" s="49">
        <f>T26*$U$9</f>
        <v>1066</v>
      </c>
      <c r="W26" s="49">
        <f t="shared" si="21"/>
        <v>321.89999999999998</v>
      </c>
      <c r="X26" s="278"/>
      <c r="Y26" s="24">
        <v>30</v>
      </c>
      <c r="Z26" s="48">
        <f>X26*Y26</f>
        <v>0</v>
      </c>
      <c r="AA26" s="278"/>
      <c r="AB26" s="24">
        <v>15</v>
      </c>
      <c r="AC26" s="48">
        <f>AA26*AB26</f>
        <v>0</v>
      </c>
      <c r="AD26" s="278"/>
      <c r="AE26" s="24">
        <v>30</v>
      </c>
      <c r="AF26" s="48">
        <f>AD26*AE26</f>
        <v>0</v>
      </c>
      <c r="AG26" s="48">
        <f>(Z26+AC26+AF26)*1%*30</f>
        <v>0</v>
      </c>
      <c r="AH26" s="48">
        <f>Z26+AC26+AF26+AG26</f>
        <v>0</v>
      </c>
      <c r="AI26" s="34">
        <f t="shared" si="9"/>
        <v>29611.1</v>
      </c>
      <c r="AJ26" s="34">
        <f t="shared" si="10"/>
        <v>355.3</v>
      </c>
      <c r="AK26" s="50">
        <f t="shared" si="19"/>
        <v>234.5</v>
      </c>
      <c r="AL26" s="50">
        <f t="shared" si="22"/>
        <v>79.3</v>
      </c>
      <c r="AM26" s="50">
        <f t="shared" si="11"/>
        <v>56.5</v>
      </c>
      <c r="AN26" s="50">
        <f t="shared" si="20"/>
        <v>370.3</v>
      </c>
      <c r="AP26" s="51"/>
    </row>
    <row r="27" spans="1:42" ht="27" customHeight="1" x14ac:dyDescent="0.25">
      <c r="A27" s="278">
        <v>19</v>
      </c>
      <c r="B27" s="44" t="s">
        <v>102</v>
      </c>
      <c r="C27" s="58">
        <v>2</v>
      </c>
      <c r="D27" s="53">
        <v>4.3769999999999998</v>
      </c>
      <c r="E27" s="46">
        <f t="shared" si="13"/>
        <v>8.75</v>
      </c>
      <c r="F27" s="47">
        <f t="shared" si="14"/>
        <v>105</v>
      </c>
      <c r="G27" s="24"/>
      <c r="H27" s="24">
        <f>948.3/1000</f>
        <v>0.9</v>
      </c>
      <c r="I27" s="24"/>
      <c r="J27" s="24"/>
      <c r="K27" s="24"/>
      <c r="L27" s="24">
        <v>72</v>
      </c>
      <c r="M27" s="24">
        <f t="shared" si="0"/>
        <v>177.9</v>
      </c>
      <c r="N27" s="48">
        <v>0.49</v>
      </c>
      <c r="O27" s="24">
        <f t="shared" si="1"/>
        <v>87.2</v>
      </c>
      <c r="P27" s="24">
        <f t="shared" si="15"/>
        <v>265.10000000000002</v>
      </c>
      <c r="Q27" s="24">
        <f t="shared" si="16"/>
        <v>212.1</v>
      </c>
      <c r="R27" s="24">
        <f t="shared" si="2"/>
        <v>212.1</v>
      </c>
      <c r="S27" s="24">
        <f t="shared" si="17"/>
        <v>22.1</v>
      </c>
      <c r="T27" s="49">
        <f t="shared" si="3"/>
        <v>711.4</v>
      </c>
      <c r="U27" s="1532"/>
      <c r="V27" s="49">
        <f>T27*$U$9-0.2</f>
        <v>711.2</v>
      </c>
      <c r="W27" s="49">
        <f>V27*0.302</f>
        <v>214.8</v>
      </c>
      <c r="X27" s="278"/>
      <c r="Y27" s="24">
        <v>30</v>
      </c>
      <c r="Z27" s="48">
        <f>X27*Y27</f>
        <v>0</v>
      </c>
      <c r="AA27" s="278"/>
      <c r="AB27" s="24">
        <v>15</v>
      </c>
      <c r="AC27" s="48">
        <f>AA27*AB27</f>
        <v>0</v>
      </c>
      <c r="AD27" s="278"/>
      <c r="AE27" s="24">
        <v>30</v>
      </c>
      <c r="AF27" s="48">
        <f>AD27*AE27</f>
        <v>0</v>
      </c>
      <c r="AG27" s="48">
        <f>(Z27+AC27+AF27)*1%*30</f>
        <v>0</v>
      </c>
      <c r="AH27" s="48">
        <f>Z27+AC27+AF27+AG27</f>
        <v>0</v>
      </c>
      <c r="AI27" s="34">
        <f t="shared" si="9"/>
        <v>29633.3</v>
      </c>
      <c r="AJ27" s="34">
        <f t="shared" si="10"/>
        <v>355.6</v>
      </c>
      <c r="AK27" s="50">
        <f t="shared" si="19"/>
        <v>156.5</v>
      </c>
      <c r="AL27" s="50">
        <f t="shared" si="22"/>
        <v>52.9</v>
      </c>
      <c r="AM27" s="50">
        <f t="shared" si="11"/>
        <v>37.700000000000003</v>
      </c>
      <c r="AN27" s="50">
        <f t="shared" si="20"/>
        <v>247.1</v>
      </c>
      <c r="AP27" s="51"/>
    </row>
    <row r="28" spans="1:42" s="62" customFormat="1" ht="20.25" customHeight="1" x14ac:dyDescent="0.25">
      <c r="A28" s="1542" t="s">
        <v>97</v>
      </c>
      <c r="B28" s="1543"/>
      <c r="C28" s="59">
        <f t="shared" ref="C28:AH28" si="23">SUM(C9:C27)</f>
        <v>64.5</v>
      </c>
      <c r="D28" s="25">
        <f t="shared" si="23"/>
        <v>181.9</v>
      </c>
      <c r="E28" s="25">
        <f t="shared" si="23"/>
        <v>527.5</v>
      </c>
      <c r="F28" s="25">
        <f t="shared" si="23"/>
        <v>6321.7</v>
      </c>
      <c r="G28" s="25">
        <f t="shared" si="23"/>
        <v>0</v>
      </c>
      <c r="H28" s="25">
        <f>SUM(H9:H27)</f>
        <v>74.400000000000006</v>
      </c>
      <c r="I28" s="25">
        <f t="shared" si="23"/>
        <v>0</v>
      </c>
      <c r="J28" s="25">
        <f t="shared" si="23"/>
        <v>0</v>
      </c>
      <c r="K28" s="25">
        <f t="shared" si="23"/>
        <v>1143.7</v>
      </c>
      <c r="L28" s="25">
        <f t="shared" si="23"/>
        <v>2252.1999999999998</v>
      </c>
      <c r="M28" s="25">
        <f t="shared" si="23"/>
        <v>9792</v>
      </c>
      <c r="N28" s="25">
        <f t="shared" si="23"/>
        <v>9.1999999999999993</v>
      </c>
      <c r="O28" s="25">
        <f t="shared" si="23"/>
        <v>4877.3</v>
      </c>
      <c r="P28" s="25">
        <f t="shared" si="23"/>
        <v>14669.3</v>
      </c>
      <c r="Q28" s="25">
        <f t="shared" si="23"/>
        <v>11735.5</v>
      </c>
      <c r="R28" s="25">
        <f t="shared" si="23"/>
        <v>11735.5</v>
      </c>
      <c r="S28" s="25">
        <f t="shared" si="23"/>
        <v>1220.3</v>
      </c>
      <c r="T28" s="25">
        <f t="shared" si="23"/>
        <v>39360.6</v>
      </c>
      <c r="U28" s="25">
        <f t="shared" si="23"/>
        <v>1</v>
      </c>
      <c r="V28" s="25">
        <f t="shared" si="23"/>
        <v>39360.400000000001</v>
      </c>
      <c r="W28" s="25">
        <f>SUM(W9:W27)</f>
        <v>11654.6</v>
      </c>
      <c r="X28" s="25">
        <f t="shared" si="23"/>
        <v>29</v>
      </c>
      <c r="Y28" s="25">
        <f t="shared" si="23"/>
        <v>570</v>
      </c>
      <c r="Z28" s="25">
        <f t="shared" si="23"/>
        <v>870</v>
      </c>
      <c r="AA28" s="25">
        <f t="shared" si="23"/>
        <v>12</v>
      </c>
      <c r="AB28" s="25">
        <f t="shared" si="23"/>
        <v>285</v>
      </c>
      <c r="AC28" s="25">
        <f t="shared" si="23"/>
        <v>180</v>
      </c>
      <c r="AD28" s="25">
        <f t="shared" si="23"/>
        <v>8</v>
      </c>
      <c r="AE28" s="25">
        <f t="shared" si="23"/>
        <v>570</v>
      </c>
      <c r="AF28" s="25">
        <f t="shared" si="23"/>
        <v>240</v>
      </c>
      <c r="AG28" s="25">
        <f t="shared" si="23"/>
        <v>387</v>
      </c>
      <c r="AH28" s="25">
        <f t="shared" si="23"/>
        <v>1677</v>
      </c>
      <c r="AI28" s="60"/>
      <c r="AJ28" s="61"/>
      <c r="AN28" s="60">
        <f>SUM(AN9:AN27)</f>
        <v>12276.5</v>
      </c>
    </row>
    <row r="29" spans="1:42" s="62" customFormat="1" ht="20.25" customHeight="1" x14ac:dyDescent="0.25">
      <c r="A29" s="63"/>
      <c r="B29" s="63"/>
      <c r="C29" s="26"/>
      <c r="D29" s="26"/>
      <c r="E29" s="26"/>
      <c r="F29" s="26"/>
      <c r="G29" s="26"/>
      <c r="H29" s="26"/>
      <c r="I29" s="26"/>
      <c r="J29" s="26"/>
      <c r="K29" s="26"/>
      <c r="L29" s="26"/>
      <c r="M29" s="26"/>
      <c r="N29" s="26"/>
      <c r="O29" s="26"/>
      <c r="P29" s="26"/>
      <c r="Q29" s="26"/>
      <c r="R29" s="26"/>
      <c r="S29" s="26"/>
      <c r="T29" s="26"/>
      <c r="U29" s="64"/>
      <c r="V29" s="65"/>
      <c r="W29" s="66"/>
      <c r="X29" s="65"/>
      <c r="Y29" s="65"/>
      <c r="Z29" s="65"/>
      <c r="AA29" s="65"/>
      <c r="AB29" s="65"/>
      <c r="AC29" s="65"/>
      <c r="AD29" s="65"/>
      <c r="AE29" s="65"/>
      <c r="AF29" s="65"/>
      <c r="AG29" s="65"/>
      <c r="AH29" s="65"/>
      <c r="AI29" s="67"/>
      <c r="AJ29" s="61"/>
    </row>
    <row r="30" spans="1:42" s="62" customFormat="1" ht="13.8" x14ac:dyDescent="0.25">
      <c r="A30" s="68"/>
      <c r="B30" s="63"/>
      <c r="C30" s="26"/>
      <c r="D30" s="26"/>
      <c r="E30" s="26"/>
      <c r="F30" s="26"/>
      <c r="G30" s="26"/>
      <c r="H30" s="26"/>
      <c r="I30" s="26"/>
      <c r="J30" s="26"/>
      <c r="K30" s="26"/>
      <c r="L30" s="26"/>
      <c r="M30" s="26"/>
      <c r="N30" s="26"/>
      <c r="O30" s="26"/>
      <c r="P30" s="26"/>
      <c r="Q30" s="26"/>
      <c r="R30" s="26"/>
      <c r="S30" s="26"/>
      <c r="T30" s="26"/>
      <c r="U30" s="64"/>
      <c r="V30" s="69"/>
      <c r="W30" s="69"/>
      <c r="X30" s="65"/>
      <c r="Y30" s="65"/>
      <c r="Z30" s="65"/>
      <c r="AA30" s="65"/>
      <c r="AB30" s="65"/>
      <c r="AC30" s="65"/>
      <c r="AD30" s="65"/>
      <c r="AE30" s="65"/>
      <c r="AF30" s="65"/>
      <c r="AG30" s="65"/>
      <c r="AH30" s="65"/>
      <c r="AI30" s="67"/>
      <c r="AJ30" s="61"/>
    </row>
    <row r="31" spans="1:42" s="75" customFormat="1" ht="13.8" x14ac:dyDescent="0.25">
      <c r="A31" s="70"/>
      <c r="B31" s="70"/>
      <c r="C31" s="71"/>
      <c r="D31" s="72"/>
      <c r="E31" s="72"/>
      <c r="F31" s="72"/>
      <c r="G31" s="72"/>
      <c r="H31" s="73"/>
      <c r="I31" s="73"/>
      <c r="J31" s="27"/>
      <c r="K31" s="27"/>
      <c r="L31" s="27"/>
      <c r="M31" s="27"/>
      <c r="N31" s="74"/>
      <c r="O31" s="27"/>
      <c r="P31" s="27"/>
      <c r="Q31" s="27"/>
      <c r="R31" s="27"/>
      <c r="S31" s="27"/>
      <c r="T31" s="27"/>
      <c r="U31" s="27"/>
      <c r="V31" s="27"/>
      <c r="W31" s="27"/>
      <c r="X31" s="27"/>
      <c r="Y31" s="27"/>
      <c r="Z31" s="27"/>
      <c r="AA31" s="27"/>
      <c r="AB31" s="27"/>
      <c r="AC31" s="27"/>
      <c r="AD31" s="27"/>
      <c r="AE31" s="27"/>
      <c r="AF31" s="27"/>
      <c r="AG31" s="27"/>
      <c r="AH31" s="27"/>
      <c r="AI31" s="27"/>
      <c r="AK31" s="76"/>
      <c r="AL31" s="76"/>
      <c r="AM31" s="76"/>
      <c r="AN31" s="76"/>
      <c r="AO31" s="76"/>
    </row>
    <row r="32" spans="1:42" s="75" customFormat="1" ht="39.75" customHeight="1" x14ac:dyDescent="0.25">
      <c r="A32" s="70"/>
      <c r="B32" s="70"/>
      <c r="C32" s="71"/>
      <c r="D32" s="77"/>
      <c r="E32" s="77"/>
      <c r="F32" s="27"/>
      <c r="G32" s="1545" t="s">
        <v>140</v>
      </c>
      <c r="H32" s="1545"/>
      <c r="I32" s="1540" t="s">
        <v>141</v>
      </c>
      <c r="J32" s="1541"/>
      <c r="K32" s="1540" t="s">
        <v>128</v>
      </c>
      <c r="L32" s="1541"/>
      <c r="M32" s="70"/>
      <c r="N32" s="70"/>
      <c r="O32" s="70"/>
      <c r="P32" s="70"/>
      <c r="Q32" s="27"/>
      <c r="R32" s="27"/>
      <c r="S32" s="27"/>
      <c r="T32" s="27"/>
      <c r="U32" s="27"/>
      <c r="V32" s="27"/>
      <c r="W32" s="27"/>
      <c r="X32" s="27"/>
      <c r="Y32" s="27"/>
      <c r="Z32" s="27"/>
      <c r="AA32" s="27"/>
      <c r="AB32" s="27"/>
      <c r="AC32" s="27"/>
      <c r="AD32" s="27"/>
      <c r="AE32" s="27"/>
      <c r="AF32" s="27"/>
      <c r="AG32" s="27"/>
      <c r="AH32" s="27"/>
      <c r="AI32" s="27"/>
      <c r="AK32" s="76"/>
      <c r="AL32" s="76"/>
      <c r="AM32" s="76"/>
      <c r="AN32" s="76"/>
      <c r="AO32" s="76"/>
    </row>
    <row r="33" spans="1:41" s="75" customFormat="1" ht="13.8" x14ac:dyDescent="0.25">
      <c r="A33" s="70"/>
      <c r="B33" s="70"/>
      <c r="C33" s="71"/>
      <c r="D33" s="77"/>
      <c r="E33" s="77"/>
      <c r="F33" s="27"/>
      <c r="G33" s="279">
        <v>991</v>
      </c>
      <c r="H33" s="279">
        <v>992</v>
      </c>
      <c r="I33" s="279">
        <v>991</v>
      </c>
      <c r="J33" s="279">
        <v>992</v>
      </c>
      <c r="K33" s="279">
        <v>991</v>
      </c>
      <c r="L33" s="279">
        <v>992</v>
      </c>
      <c r="M33" s="79"/>
      <c r="N33" s="79"/>
      <c r="O33" s="79"/>
      <c r="P33" s="79"/>
      <c r="Q33" s="27"/>
      <c r="R33" s="27"/>
      <c r="S33" s="27"/>
      <c r="T33" s="27"/>
      <c r="U33" s="27"/>
      <c r="V33" s="27"/>
      <c r="W33" s="27"/>
      <c r="X33" s="27"/>
      <c r="Y33" s="27"/>
      <c r="Z33" s="27"/>
      <c r="AA33" s="27"/>
      <c r="AB33" s="27"/>
      <c r="AC33" s="27"/>
      <c r="AD33" s="27"/>
      <c r="AE33" s="27"/>
      <c r="AF33" s="27"/>
      <c r="AG33" s="27"/>
      <c r="AH33" s="27"/>
      <c r="AI33" s="27"/>
      <c r="AK33" s="76"/>
      <c r="AL33" s="76"/>
      <c r="AM33" s="76"/>
      <c r="AN33" s="76"/>
      <c r="AO33" s="76"/>
    </row>
    <row r="34" spans="1:41" s="75" customFormat="1" ht="13.8" x14ac:dyDescent="0.25">
      <c r="A34" s="70"/>
      <c r="B34" s="70"/>
      <c r="C34" s="71"/>
      <c r="D34" s="77"/>
      <c r="E34" s="77"/>
      <c r="F34" s="27"/>
      <c r="G34" s="29">
        <v>39360.400000000001</v>
      </c>
      <c r="H34" s="29">
        <v>11661.7</v>
      </c>
      <c r="I34" s="29">
        <f>V28</f>
        <v>39360.400000000001</v>
      </c>
      <c r="J34" s="29">
        <f>W28</f>
        <v>11654.6</v>
      </c>
      <c r="K34" s="29">
        <f>G34-I34</f>
        <v>0</v>
      </c>
      <c r="L34" s="29">
        <f>H34-J34</f>
        <v>7.1</v>
      </c>
      <c r="M34" s="80"/>
      <c r="N34" s="80"/>
      <c r="O34" s="80"/>
      <c r="P34" s="80"/>
      <c r="Q34" s="27"/>
      <c r="R34" s="27"/>
      <c r="S34" s="27"/>
      <c r="T34" s="27"/>
      <c r="U34" s="27"/>
      <c r="V34" s="27"/>
      <c r="W34" s="27"/>
      <c r="X34" s="27"/>
      <c r="Y34" s="27"/>
      <c r="Z34" s="27"/>
      <c r="AA34" s="27"/>
      <c r="AB34" s="27"/>
      <c r="AC34" s="27"/>
      <c r="AD34" s="27"/>
      <c r="AE34" s="27"/>
      <c r="AF34" s="27"/>
      <c r="AG34" s="27"/>
      <c r="AH34" s="27"/>
      <c r="AI34" s="27"/>
      <c r="AK34" s="76"/>
      <c r="AL34" s="76"/>
      <c r="AM34" s="76"/>
      <c r="AN34" s="76"/>
      <c r="AO34" s="76"/>
    </row>
    <row r="35" spans="1:41" s="75" customFormat="1" ht="13.8" x14ac:dyDescent="0.25">
      <c r="A35" s="70"/>
      <c r="B35" s="70"/>
      <c r="C35" s="71"/>
      <c r="D35" s="77"/>
      <c r="E35" s="77"/>
      <c r="F35" s="27"/>
      <c r="G35" s="27"/>
      <c r="H35" s="73"/>
      <c r="I35" s="73"/>
      <c r="J35" s="27"/>
      <c r="K35" s="27"/>
      <c r="L35" s="27"/>
      <c r="M35" s="27"/>
      <c r="N35" s="74"/>
      <c r="O35" s="27"/>
      <c r="P35" s="27"/>
      <c r="Q35" s="27"/>
      <c r="R35" s="27"/>
      <c r="S35" s="27"/>
      <c r="T35" s="27"/>
      <c r="U35" s="27"/>
      <c r="V35" s="27"/>
      <c r="W35" s="27"/>
      <c r="X35" s="27"/>
      <c r="Y35" s="27"/>
      <c r="Z35" s="27"/>
      <c r="AA35" s="27"/>
      <c r="AB35" s="27"/>
      <c r="AC35" s="27"/>
      <c r="AD35" s="27"/>
      <c r="AE35" s="27"/>
      <c r="AF35" s="27"/>
      <c r="AG35" s="27"/>
      <c r="AH35" s="27"/>
      <c r="AI35" s="27"/>
      <c r="AK35" s="76"/>
      <c r="AL35" s="76"/>
      <c r="AM35" s="76"/>
      <c r="AN35" s="76"/>
      <c r="AO35" s="76"/>
    </row>
    <row r="36" spans="1:41" s="75" customFormat="1" ht="13.8" x14ac:dyDescent="0.25">
      <c r="A36" s="70"/>
      <c r="B36" s="70"/>
      <c r="C36" s="71"/>
      <c r="D36" s="77"/>
      <c r="E36" s="77"/>
      <c r="F36" s="27"/>
      <c r="G36" s="27"/>
      <c r="H36" s="73"/>
      <c r="I36" s="73"/>
      <c r="J36" s="27"/>
      <c r="K36" s="27"/>
      <c r="L36" s="27"/>
      <c r="M36" s="27"/>
      <c r="N36" s="74"/>
      <c r="O36" s="27"/>
      <c r="P36" s="27"/>
      <c r="Q36" s="27"/>
      <c r="R36" s="27"/>
      <c r="S36" s="27"/>
      <c r="T36" s="27"/>
      <c r="U36" s="27"/>
      <c r="V36" s="27"/>
      <c r="W36" s="27"/>
      <c r="X36" s="27"/>
      <c r="Y36" s="27"/>
      <c r="Z36" s="27"/>
      <c r="AA36" s="27"/>
      <c r="AB36" s="27"/>
      <c r="AC36" s="27"/>
      <c r="AD36" s="27"/>
      <c r="AE36" s="27"/>
      <c r="AF36" s="27"/>
      <c r="AG36" s="27"/>
      <c r="AH36" s="27"/>
      <c r="AI36" s="27"/>
      <c r="AK36" s="76"/>
      <c r="AL36" s="76"/>
      <c r="AM36" s="76"/>
      <c r="AN36" s="76"/>
      <c r="AO36" s="76"/>
    </row>
    <row r="37" spans="1:41" s="282" customFormat="1" ht="21" x14ac:dyDescent="0.25">
      <c r="A37" s="81"/>
      <c r="B37" s="82" t="s">
        <v>138</v>
      </c>
      <c r="C37" s="83"/>
      <c r="D37" s="84"/>
      <c r="E37" s="84"/>
      <c r="F37" s="85"/>
      <c r="G37" s="85"/>
      <c r="H37" s="86"/>
      <c r="I37" s="86"/>
      <c r="J37" s="85"/>
      <c r="K37" s="30" t="s">
        <v>166</v>
      </c>
      <c r="L37" s="85"/>
      <c r="M37" s="85"/>
      <c r="N37" s="87"/>
      <c r="O37" s="85"/>
      <c r="P37" s="85"/>
      <c r="Q37" s="85"/>
      <c r="R37" s="85"/>
      <c r="S37" s="85"/>
      <c r="T37" s="85"/>
      <c r="U37" s="85"/>
      <c r="V37" s="85"/>
      <c r="W37" s="85"/>
      <c r="X37" s="85"/>
      <c r="Y37" s="85"/>
      <c r="Z37" s="85"/>
      <c r="AA37" s="85"/>
      <c r="AB37" s="85"/>
      <c r="AC37" s="85"/>
      <c r="AD37" s="85"/>
      <c r="AE37" s="85"/>
      <c r="AF37" s="85"/>
      <c r="AG37" s="85"/>
      <c r="AH37" s="85"/>
      <c r="AI37" s="85"/>
      <c r="AK37" s="88"/>
      <c r="AL37" s="88"/>
      <c r="AM37" s="88"/>
      <c r="AN37" s="88"/>
      <c r="AO37" s="88"/>
    </row>
    <row r="38" spans="1:41" s="75" customFormat="1" ht="13.8" x14ac:dyDescent="0.25">
      <c r="A38" s="70"/>
      <c r="B38" s="70"/>
      <c r="C38" s="71"/>
      <c r="D38" s="77"/>
      <c r="E38" s="77"/>
      <c r="F38" s="27"/>
      <c r="G38" s="27"/>
      <c r="H38" s="73"/>
      <c r="I38" s="73"/>
      <c r="J38" s="27"/>
      <c r="K38" s="27"/>
      <c r="L38" s="27"/>
      <c r="M38" s="27"/>
      <c r="N38" s="74"/>
      <c r="O38" s="27"/>
      <c r="P38" s="27"/>
      <c r="Q38" s="27"/>
      <c r="R38" s="27"/>
      <c r="S38" s="27"/>
      <c r="T38" s="27"/>
      <c r="U38" s="27"/>
      <c r="V38" s="27"/>
      <c r="W38" s="27"/>
      <c r="X38" s="27"/>
      <c r="Y38" s="27"/>
      <c r="Z38" s="27"/>
      <c r="AA38" s="27"/>
      <c r="AB38" s="27"/>
      <c r="AC38" s="27"/>
      <c r="AD38" s="27"/>
      <c r="AE38" s="27"/>
      <c r="AF38" s="27"/>
      <c r="AG38" s="27"/>
      <c r="AH38" s="27"/>
      <c r="AI38" s="27"/>
      <c r="AK38" s="76"/>
      <c r="AL38" s="76"/>
      <c r="AM38" s="76"/>
      <c r="AN38" s="76"/>
      <c r="AO38" s="76"/>
    </row>
    <row r="39" spans="1:41" s="75" customFormat="1" ht="20.25" customHeight="1" x14ac:dyDescent="0.25">
      <c r="A39" s="89" t="s">
        <v>96</v>
      </c>
      <c r="B39" s="89"/>
      <c r="C39" s="31"/>
      <c r="D39" s="31"/>
      <c r="E39" s="31"/>
      <c r="F39" s="31"/>
      <c r="G39" s="31"/>
      <c r="H39" s="31"/>
      <c r="I39" s="31"/>
      <c r="J39" s="31"/>
      <c r="K39" s="31"/>
      <c r="L39" s="90"/>
      <c r="M39" s="90"/>
      <c r="N39" s="91"/>
      <c r="O39" s="90"/>
      <c r="P39" s="90"/>
      <c r="Q39" s="90"/>
      <c r="R39" s="90"/>
      <c r="S39" s="90"/>
      <c r="T39" s="90"/>
      <c r="U39" s="90"/>
      <c r="V39" s="90"/>
      <c r="W39" s="90"/>
      <c r="X39" s="90"/>
      <c r="Y39" s="90"/>
      <c r="Z39" s="90"/>
      <c r="AA39" s="90"/>
      <c r="AB39" s="90"/>
      <c r="AC39" s="90"/>
      <c r="AD39" s="90"/>
      <c r="AE39" s="90"/>
      <c r="AF39" s="90"/>
      <c r="AG39" s="90"/>
      <c r="AH39" s="90"/>
      <c r="AI39" s="90"/>
      <c r="AK39" s="76"/>
      <c r="AL39" s="76"/>
      <c r="AM39" s="76"/>
      <c r="AN39" s="76"/>
      <c r="AO39" s="76"/>
    </row>
    <row r="40" spans="1:41" s="75" customFormat="1" ht="20.25" customHeight="1" x14ac:dyDescent="0.25">
      <c r="A40" s="89" t="s">
        <v>139</v>
      </c>
      <c r="B40" s="92"/>
      <c r="C40" s="93"/>
      <c r="D40" s="93"/>
      <c r="E40" s="32"/>
      <c r="F40" s="32"/>
      <c r="G40" s="32"/>
      <c r="H40" s="32"/>
      <c r="I40" s="32"/>
      <c r="J40" s="32"/>
      <c r="K40" s="32"/>
      <c r="L40" s="90"/>
      <c r="M40" s="90"/>
      <c r="N40" s="90"/>
      <c r="O40" s="90"/>
      <c r="P40" s="90"/>
      <c r="Q40" s="90"/>
      <c r="R40" s="90"/>
      <c r="S40" s="90"/>
      <c r="T40" s="90"/>
      <c r="U40" s="90"/>
      <c r="V40" s="90"/>
      <c r="W40" s="90"/>
      <c r="X40" s="90"/>
      <c r="Y40" s="90"/>
      <c r="Z40" s="90"/>
      <c r="AA40" s="90"/>
      <c r="AB40" s="90"/>
      <c r="AC40" s="90"/>
      <c r="AD40" s="90"/>
      <c r="AE40" s="90"/>
      <c r="AF40" s="90"/>
      <c r="AG40" s="90"/>
      <c r="AH40" s="90"/>
      <c r="AI40" s="90"/>
      <c r="AK40" s="76"/>
      <c r="AL40" s="76"/>
      <c r="AM40" s="76"/>
      <c r="AN40" s="76"/>
      <c r="AO40" s="76"/>
    </row>
    <row r="41" spans="1:41" ht="15.6" x14ac:dyDescent="0.25">
      <c r="A41" s="1544"/>
      <c r="B41" s="1544"/>
      <c r="C41" s="1544"/>
    </row>
    <row r="43" spans="1:41" x14ac:dyDescent="0.25">
      <c r="E43" s="51"/>
    </row>
    <row r="44" spans="1:41" x14ac:dyDescent="0.25">
      <c r="E44" s="51"/>
    </row>
    <row r="45" spans="1:41" x14ac:dyDescent="0.25">
      <c r="E45" s="51"/>
    </row>
    <row r="46" spans="1:41" x14ac:dyDescent="0.25">
      <c r="E46" s="51"/>
    </row>
    <row r="47" spans="1:41" x14ac:dyDescent="0.25">
      <c r="E47" s="51"/>
    </row>
    <row r="48" spans="1:41" x14ac:dyDescent="0.25">
      <c r="E48" s="51"/>
    </row>
    <row r="49" spans="5:5" x14ac:dyDescent="0.25">
      <c r="E49" s="51"/>
    </row>
    <row r="50" spans="5:5" x14ac:dyDescent="0.25">
      <c r="E50" s="51"/>
    </row>
    <row r="51" spans="5:5" x14ac:dyDescent="0.25">
      <c r="E51" s="51"/>
    </row>
    <row r="52" spans="5:5" x14ac:dyDescent="0.25">
      <c r="E52" s="51"/>
    </row>
    <row r="53" spans="5:5" x14ac:dyDescent="0.25">
      <c r="E53" s="51"/>
    </row>
    <row r="54" spans="5:5" x14ac:dyDescent="0.25">
      <c r="E54" s="51"/>
    </row>
    <row r="55" spans="5:5" x14ac:dyDescent="0.25">
      <c r="E55" s="51"/>
    </row>
    <row r="56" spans="5:5" x14ac:dyDescent="0.25">
      <c r="E56" s="51"/>
    </row>
    <row r="57" spans="5:5" x14ac:dyDescent="0.25">
      <c r="E57" s="51"/>
    </row>
    <row r="58" spans="5:5" x14ac:dyDescent="0.25">
      <c r="E58" s="51"/>
    </row>
    <row r="59" spans="5:5" x14ac:dyDescent="0.25">
      <c r="E59" s="51"/>
    </row>
    <row r="60" spans="5:5" x14ac:dyDescent="0.25">
      <c r="E60" s="51"/>
    </row>
    <row r="61" spans="5:5" x14ac:dyDescent="0.25">
      <c r="E61" s="51"/>
    </row>
    <row r="62" spans="5:5" x14ac:dyDescent="0.25">
      <c r="E62" s="51"/>
    </row>
    <row r="63" spans="5:5" x14ac:dyDescent="0.25">
      <c r="E63" s="51"/>
    </row>
    <row r="64" spans="5:5" x14ac:dyDescent="0.25">
      <c r="E64" s="51"/>
    </row>
    <row r="65" spans="5:5" x14ac:dyDescent="0.25">
      <c r="E65" s="51"/>
    </row>
    <row r="66" spans="5:5" x14ac:dyDescent="0.25">
      <c r="E66" s="51"/>
    </row>
    <row r="67" spans="5:5" x14ac:dyDescent="0.25">
      <c r="E67" s="51"/>
    </row>
    <row r="68" spans="5:5" x14ac:dyDescent="0.25">
      <c r="E68" s="51"/>
    </row>
    <row r="69" spans="5:5" x14ac:dyDescent="0.25">
      <c r="E69" s="51"/>
    </row>
    <row r="70" spans="5:5" x14ac:dyDescent="0.25">
      <c r="E70" s="51"/>
    </row>
    <row r="71" spans="5:5" x14ac:dyDescent="0.25">
      <c r="E71" s="51"/>
    </row>
    <row r="72" spans="5:5" x14ac:dyDescent="0.25">
      <c r="E72" s="51"/>
    </row>
    <row r="73" spans="5:5" x14ac:dyDescent="0.25">
      <c r="E73" s="51"/>
    </row>
    <row r="74" spans="5:5" x14ac:dyDescent="0.25">
      <c r="E74" s="51"/>
    </row>
  </sheetData>
  <autoFilter ref="A8:AP30"/>
  <mergeCells count="38">
    <mergeCell ref="J6:J7"/>
    <mergeCell ref="K6:K7"/>
    <mergeCell ref="U9:U27"/>
    <mergeCell ref="A28:B28"/>
    <mergeCell ref="S6:S7"/>
    <mergeCell ref="T6:T7"/>
    <mergeCell ref="G32:H32"/>
    <mergeCell ref="I32:J32"/>
    <mergeCell ref="K32:L32"/>
    <mergeCell ref="A41:C41"/>
    <mergeCell ref="AA6:AC6"/>
    <mergeCell ref="R6:R7"/>
    <mergeCell ref="F6:F7"/>
    <mergeCell ref="G6:G7"/>
    <mergeCell ref="H6:H7"/>
    <mergeCell ref="I6:I7"/>
    <mergeCell ref="U6:U7"/>
    <mergeCell ref="L6:L7"/>
    <mergeCell ref="M6:M7"/>
    <mergeCell ref="N6:O6"/>
    <mergeCell ref="P6:P7"/>
    <mergeCell ref="Q6:Q7"/>
    <mergeCell ref="AE1:AH1"/>
    <mergeCell ref="A2:AH2"/>
    <mergeCell ref="A3:AH3"/>
    <mergeCell ref="A5:A7"/>
    <mergeCell ref="B5:B7"/>
    <mergeCell ref="C5:C7"/>
    <mergeCell ref="D5:W5"/>
    <mergeCell ref="X5:AH5"/>
    <mergeCell ref="D6:D7"/>
    <mergeCell ref="E6:E7"/>
    <mergeCell ref="AD6:AF6"/>
    <mergeCell ref="AG6:AG7"/>
    <mergeCell ref="AH6:AH7"/>
    <mergeCell ref="V6:V7"/>
    <mergeCell ref="W6:W7"/>
    <mergeCell ref="X6:Z6"/>
  </mergeCells>
  <printOptions horizontalCentered="1"/>
  <pageMargins left="0.25" right="0.25" top="0.75" bottom="0.75" header="0.3" footer="0.3"/>
  <pageSetup paperSize="9" scale="33"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S43"/>
  <sheetViews>
    <sheetView view="pageBreakPreview" zoomScale="80" zoomScaleSheetLayoutView="80" workbookViewId="0">
      <pane xSplit="3" ySplit="8" topLeftCell="U9"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2" x14ac:dyDescent="0.25"/>
  <cols>
    <col min="1" max="1" width="12.77734375" style="98" customWidth="1"/>
    <col min="2" max="2" width="30.77734375" style="99" customWidth="1"/>
    <col min="3" max="3" width="13.77734375" style="99" customWidth="1"/>
    <col min="4" max="4" width="11.44140625" style="99" customWidth="1"/>
    <col min="5" max="5" width="13" style="99" customWidth="1"/>
    <col min="6" max="6" width="14.6640625" style="99" customWidth="1"/>
    <col min="7" max="8" width="13.109375" style="99" customWidth="1"/>
    <col min="9" max="9" width="11.6640625" style="99" customWidth="1"/>
    <col min="10" max="10" width="16.77734375" style="99" customWidth="1"/>
    <col min="11" max="11" width="12" style="99" customWidth="1"/>
    <col min="12" max="17" width="11.44140625" style="100" customWidth="1"/>
    <col min="18" max="18" width="14.109375" style="99" customWidth="1"/>
    <col min="19" max="19" width="15.44140625" style="99" customWidth="1"/>
    <col min="20" max="20" width="12.33203125" style="99" customWidth="1"/>
    <col min="21" max="21" width="11.6640625" style="99" customWidth="1"/>
    <col min="22" max="23" width="12" style="99" customWidth="1"/>
    <col min="24" max="24" width="12.6640625" style="99" customWidth="1"/>
    <col min="25" max="25" width="12" style="99" customWidth="1"/>
    <col min="26" max="26" width="9.6640625" style="99" customWidth="1"/>
    <col min="27" max="31" width="8.44140625" style="99" customWidth="1"/>
    <col min="32" max="32" width="9.6640625" style="99" customWidth="1"/>
    <col min="33" max="33" width="9.33203125" style="99" customWidth="1"/>
    <col min="34" max="34" width="12" style="99" customWidth="1"/>
    <col min="35" max="36" width="11.109375" style="99" customWidth="1"/>
    <col min="37" max="37" width="12.6640625" style="99" customWidth="1"/>
    <col min="38" max="38" width="11.77734375" style="99" hidden="1" customWidth="1"/>
    <col min="39" max="39" width="13" style="99" hidden="1" customWidth="1"/>
    <col min="40" max="42" width="9.33203125" style="22"/>
    <col min="43" max="43" width="11.33203125" style="22" bestFit="1" customWidth="1"/>
    <col min="44" max="16384" width="9.33203125" style="99"/>
  </cols>
  <sheetData>
    <row r="1" spans="1:45" ht="21" customHeight="1" x14ac:dyDescent="0.25">
      <c r="AE1" s="1546"/>
      <c r="AF1" s="1546"/>
      <c r="AG1" s="1546"/>
      <c r="AH1" s="1546"/>
    </row>
    <row r="2" spans="1:45" ht="24" customHeight="1" x14ac:dyDescent="0.25">
      <c r="A2" s="1547" t="s">
        <v>155</v>
      </c>
      <c r="B2" s="1547"/>
      <c r="C2" s="1547"/>
      <c r="D2" s="1547"/>
      <c r="E2" s="1547"/>
      <c r="F2" s="1547"/>
      <c r="G2" s="1547"/>
      <c r="H2" s="1547"/>
      <c r="I2" s="1547"/>
      <c r="J2" s="1547"/>
      <c r="K2" s="1547"/>
      <c r="L2" s="1547"/>
      <c r="M2" s="1547"/>
      <c r="N2" s="1547"/>
      <c r="O2" s="1547"/>
      <c r="P2" s="1547"/>
      <c r="Q2" s="1547"/>
      <c r="R2" s="1547"/>
      <c r="S2" s="1547"/>
      <c r="T2" s="1547"/>
      <c r="U2" s="1547"/>
      <c r="V2" s="1547"/>
      <c r="W2" s="1547"/>
      <c r="X2" s="1547"/>
      <c r="Y2" s="1547"/>
      <c r="Z2" s="1547"/>
      <c r="AA2" s="1547"/>
      <c r="AB2" s="1547"/>
      <c r="AC2" s="1547"/>
      <c r="AD2" s="1547"/>
      <c r="AE2" s="1547"/>
      <c r="AF2" s="1547"/>
      <c r="AG2" s="1547"/>
      <c r="AH2" s="1547"/>
    </row>
    <row r="3" spans="1:45" ht="24.75" customHeight="1" x14ac:dyDescent="0.25">
      <c r="A3" s="1548"/>
      <c r="B3" s="1548"/>
      <c r="C3" s="1548"/>
      <c r="D3" s="1548"/>
      <c r="E3" s="1548"/>
      <c r="F3" s="1548"/>
      <c r="G3" s="1548"/>
      <c r="H3" s="1548"/>
      <c r="I3" s="1548"/>
      <c r="J3" s="1548"/>
      <c r="K3" s="1548"/>
      <c r="L3" s="1548"/>
      <c r="M3" s="1548"/>
      <c r="N3" s="1548"/>
      <c r="O3" s="1548"/>
      <c r="P3" s="1548"/>
      <c r="Q3" s="1548"/>
      <c r="R3" s="1548"/>
      <c r="S3" s="1548"/>
      <c r="T3" s="1548"/>
      <c r="U3" s="1548"/>
      <c r="V3" s="1548"/>
      <c r="W3" s="1548"/>
      <c r="X3" s="1548"/>
      <c r="Y3" s="1548"/>
      <c r="Z3" s="1548"/>
      <c r="AA3" s="1548"/>
      <c r="AB3" s="1548"/>
      <c r="AC3" s="1548"/>
      <c r="AD3" s="1548"/>
      <c r="AE3" s="1548"/>
      <c r="AF3" s="1548"/>
      <c r="AG3" s="1548"/>
      <c r="AH3" s="1548"/>
    </row>
    <row r="4" spans="1:45" x14ac:dyDescent="0.25">
      <c r="L4" s="102">
        <v>3.8399999999999997E-2</v>
      </c>
    </row>
    <row r="5" spans="1:45" ht="38.25" customHeight="1" x14ac:dyDescent="0.25">
      <c r="A5" s="1549" t="s">
        <v>78</v>
      </c>
      <c r="B5" s="1549" t="s">
        <v>77</v>
      </c>
      <c r="C5" s="1550" t="s">
        <v>0</v>
      </c>
      <c r="D5" s="1550" t="s">
        <v>3</v>
      </c>
      <c r="E5" s="1550"/>
      <c r="F5" s="1550"/>
      <c r="G5" s="1550"/>
      <c r="H5" s="1550"/>
      <c r="I5" s="1550"/>
      <c r="J5" s="1550"/>
      <c r="K5" s="1550"/>
      <c r="L5" s="1550"/>
      <c r="M5" s="1550"/>
      <c r="N5" s="1550"/>
      <c r="O5" s="1550"/>
      <c r="P5" s="1550"/>
      <c r="Q5" s="1550"/>
      <c r="R5" s="1550"/>
      <c r="S5" s="1550"/>
      <c r="T5" s="1550"/>
      <c r="U5" s="1550"/>
      <c r="V5" s="1550"/>
      <c r="W5" s="1550"/>
      <c r="X5" s="1550" t="s">
        <v>4</v>
      </c>
      <c r="Y5" s="1550"/>
      <c r="Z5" s="1550"/>
      <c r="AA5" s="1550"/>
      <c r="AB5" s="1550"/>
      <c r="AC5" s="1550"/>
      <c r="AD5" s="1550"/>
      <c r="AE5" s="1550"/>
      <c r="AF5" s="1550"/>
      <c r="AG5" s="1550"/>
      <c r="AH5" s="1550"/>
    </row>
    <row r="6" spans="1:45" ht="60" customHeight="1" x14ac:dyDescent="0.25">
      <c r="A6" s="1549"/>
      <c r="B6" s="1549"/>
      <c r="C6" s="1550"/>
      <c r="D6" s="1551" t="s">
        <v>79</v>
      </c>
      <c r="E6" s="1551" t="s">
        <v>69</v>
      </c>
      <c r="F6" s="1551" t="s">
        <v>89</v>
      </c>
      <c r="G6" s="1551" t="s">
        <v>1</v>
      </c>
      <c r="H6" s="1551" t="s">
        <v>2</v>
      </c>
      <c r="I6" s="1551" t="s">
        <v>70</v>
      </c>
      <c r="J6" s="1551" t="s">
        <v>61</v>
      </c>
      <c r="K6" s="1551" t="s">
        <v>27</v>
      </c>
      <c r="L6" s="1553" t="s">
        <v>65</v>
      </c>
      <c r="M6" s="1553" t="s">
        <v>86</v>
      </c>
      <c r="N6" s="1554" t="s">
        <v>91</v>
      </c>
      <c r="O6" s="1554"/>
      <c r="P6" s="1554" t="s">
        <v>88</v>
      </c>
      <c r="Q6" s="1553" t="s">
        <v>82</v>
      </c>
      <c r="R6" s="1551" t="s">
        <v>83</v>
      </c>
      <c r="S6" s="1553" t="s">
        <v>87</v>
      </c>
      <c r="T6" s="1551" t="s">
        <v>84</v>
      </c>
      <c r="U6" s="1551" t="s">
        <v>9</v>
      </c>
      <c r="V6" s="1551" t="s">
        <v>7</v>
      </c>
      <c r="W6" s="1551" t="s">
        <v>85</v>
      </c>
      <c r="X6" s="1550" t="s">
        <v>10</v>
      </c>
      <c r="Y6" s="1550"/>
      <c r="Z6" s="1550"/>
      <c r="AA6" s="1550" t="s">
        <v>11</v>
      </c>
      <c r="AB6" s="1550"/>
      <c r="AC6" s="1550"/>
      <c r="AD6" s="1550" t="s">
        <v>12</v>
      </c>
      <c r="AE6" s="1550"/>
      <c r="AF6" s="1550"/>
      <c r="AG6" s="1550" t="s">
        <v>13</v>
      </c>
      <c r="AH6" s="1550" t="s">
        <v>73</v>
      </c>
    </row>
    <row r="7" spans="1:45" ht="97.5" customHeight="1" x14ac:dyDescent="0.25">
      <c r="A7" s="1549"/>
      <c r="B7" s="1549"/>
      <c r="C7" s="1550"/>
      <c r="D7" s="1551"/>
      <c r="E7" s="1551"/>
      <c r="F7" s="1551"/>
      <c r="G7" s="1551"/>
      <c r="H7" s="1551"/>
      <c r="I7" s="1551"/>
      <c r="J7" s="1551"/>
      <c r="K7" s="1551"/>
      <c r="L7" s="1553" t="s">
        <v>66</v>
      </c>
      <c r="M7" s="1553"/>
      <c r="N7" s="286" t="s">
        <v>80</v>
      </c>
      <c r="O7" s="286" t="s">
        <v>81</v>
      </c>
      <c r="P7" s="1554"/>
      <c r="Q7" s="1553"/>
      <c r="R7" s="1551"/>
      <c r="S7" s="1553" t="s">
        <v>67</v>
      </c>
      <c r="T7" s="1551"/>
      <c r="U7" s="1551"/>
      <c r="V7" s="1551"/>
      <c r="W7" s="1551"/>
      <c r="X7" s="285" t="s">
        <v>5</v>
      </c>
      <c r="Y7" s="285" t="s">
        <v>6</v>
      </c>
      <c r="Z7" s="285" t="s">
        <v>74</v>
      </c>
      <c r="AA7" s="285" t="s">
        <v>5</v>
      </c>
      <c r="AB7" s="285" t="s">
        <v>6</v>
      </c>
      <c r="AC7" s="285" t="s">
        <v>75</v>
      </c>
      <c r="AD7" s="285" t="s">
        <v>5</v>
      </c>
      <c r="AE7" s="285" t="s">
        <v>6</v>
      </c>
      <c r="AF7" s="285" t="s">
        <v>76</v>
      </c>
      <c r="AG7" s="1550"/>
      <c r="AH7" s="1550"/>
      <c r="AK7" s="98" t="s">
        <v>64</v>
      </c>
      <c r="AL7" s="98" t="s">
        <v>62</v>
      </c>
      <c r="AM7" s="98" t="s">
        <v>63</v>
      </c>
    </row>
    <row r="8" spans="1:45" x14ac:dyDescent="0.25">
      <c r="A8" s="284">
        <v>1</v>
      </c>
      <c r="B8" s="284">
        <v>2</v>
      </c>
      <c r="C8" s="284">
        <v>3</v>
      </c>
      <c r="D8" s="284">
        <v>4</v>
      </c>
      <c r="E8" s="284">
        <v>5</v>
      </c>
      <c r="F8" s="284">
        <v>6</v>
      </c>
      <c r="G8" s="284">
        <v>7</v>
      </c>
      <c r="H8" s="284">
        <v>8</v>
      </c>
      <c r="I8" s="284">
        <v>9</v>
      </c>
      <c r="J8" s="284">
        <v>10</v>
      </c>
      <c r="K8" s="284">
        <v>11</v>
      </c>
      <c r="L8" s="284">
        <v>12</v>
      </c>
      <c r="M8" s="284">
        <v>13</v>
      </c>
      <c r="N8" s="284">
        <v>14</v>
      </c>
      <c r="O8" s="284">
        <v>15</v>
      </c>
      <c r="P8" s="284">
        <v>16</v>
      </c>
      <c r="Q8" s="284">
        <v>17</v>
      </c>
      <c r="R8" s="284">
        <v>18</v>
      </c>
      <c r="S8" s="284">
        <v>19</v>
      </c>
      <c r="T8" s="284">
        <v>20</v>
      </c>
      <c r="U8" s="284">
        <v>21</v>
      </c>
      <c r="V8" s="284">
        <v>22</v>
      </c>
      <c r="W8" s="284">
        <v>23</v>
      </c>
      <c r="X8" s="284">
        <v>24</v>
      </c>
      <c r="Y8" s="284">
        <v>25</v>
      </c>
      <c r="Z8" s="284">
        <v>26</v>
      </c>
      <c r="AA8" s="284">
        <v>27</v>
      </c>
      <c r="AB8" s="284">
        <v>28</v>
      </c>
      <c r="AC8" s="284">
        <v>29</v>
      </c>
      <c r="AD8" s="284">
        <v>30</v>
      </c>
      <c r="AE8" s="284">
        <v>31</v>
      </c>
      <c r="AF8" s="284">
        <v>32</v>
      </c>
      <c r="AG8" s="284">
        <v>33</v>
      </c>
      <c r="AH8" s="284">
        <v>34</v>
      </c>
      <c r="AN8" s="43" t="s">
        <v>116</v>
      </c>
      <c r="AO8" s="43" t="s">
        <v>117</v>
      </c>
      <c r="AP8" s="43" t="s">
        <v>118</v>
      </c>
      <c r="AQ8" s="43" t="s">
        <v>119</v>
      </c>
    </row>
    <row r="9" spans="1:45" ht="16.5" customHeight="1" x14ac:dyDescent="0.25">
      <c r="A9" s="284">
        <v>1</v>
      </c>
      <c r="B9" s="106" t="s">
        <v>21</v>
      </c>
      <c r="C9" s="284">
        <v>1</v>
      </c>
      <c r="D9" s="107">
        <v>22.465</v>
      </c>
      <c r="E9" s="108">
        <f t="shared" ref="E9:E20" si="0">C9*D9</f>
        <v>22.47</v>
      </c>
      <c r="F9" s="109">
        <f t="shared" ref="F9:F19" si="1">E9*12</f>
        <v>269.60000000000002</v>
      </c>
      <c r="G9" s="110"/>
      <c r="H9" s="110"/>
      <c r="I9" s="110"/>
      <c r="J9" s="110"/>
      <c r="K9" s="95">
        <f>D9*0.2*5+D9*0.25*7</f>
        <v>61.8</v>
      </c>
      <c r="L9" s="95">
        <f>$L$4*F9</f>
        <v>10.4</v>
      </c>
      <c r="M9" s="95">
        <f t="shared" ref="M9:M19" si="2">F9+G9+H9+I9+J9+K9+L9</f>
        <v>341.8</v>
      </c>
      <c r="N9" s="111">
        <v>0.47</v>
      </c>
      <c r="O9" s="95">
        <f t="shared" ref="O9:O19" si="3">M9*N9</f>
        <v>160.6</v>
      </c>
      <c r="P9" s="95">
        <f t="shared" ref="P9:P19" si="4">M9+O9</f>
        <v>502.4</v>
      </c>
      <c r="Q9" s="95">
        <f t="shared" ref="Q9:Q19" si="5">P9*0.8</f>
        <v>401.9</v>
      </c>
      <c r="R9" s="95">
        <f t="shared" ref="R9:R19" si="6">P9*0.8</f>
        <v>401.9</v>
      </c>
      <c r="S9" s="95">
        <f t="shared" ref="S9:S19" si="7">(P9+Q9+R9)*0.032</f>
        <v>41.8</v>
      </c>
      <c r="T9" s="95">
        <f>P9+Q9+R9+S9</f>
        <v>1348</v>
      </c>
      <c r="U9" s="1555">
        <v>1</v>
      </c>
      <c r="V9" s="95">
        <f>T9*$U$9</f>
        <v>1348</v>
      </c>
      <c r="W9" s="95">
        <f>AQ9</f>
        <v>369.3</v>
      </c>
      <c r="X9" s="284">
        <v>1</v>
      </c>
      <c r="Y9" s="112">
        <v>30</v>
      </c>
      <c r="Z9" s="113">
        <f t="shared" ref="Z9:Z20" si="8">X9*Y9</f>
        <v>30</v>
      </c>
      <c r="AA9" s="284"/>
      <c r="AB9" s="112">
        <v>15</v>
      </c>
      <c r="AC9" s="113">
        <f t="shared" ref="AC9:AC20" si="9">AA9*AB9</f>
        <v>0</v>
      </c>
      <c r="AD9" s="284"/>
      <c r="AE9" s="112">
        <v>30</v>
      </c>
      <c r="AF9" s="113">
        <f>AD9*AE9</f>
        <v>0</v>
      </c>
      <c r="AG9" s="113">
        <f>(Z9+AC9+AF9)*1%*30</f>
        <v>9</v>
      </c>
      <c r="AH9" s="113">
        <f>Z9+AC9+AF9+AG9</f>
        <v>39</v>
      </c>
      <c r="AI9" s="114">
        <f t="shared" ref="AI9:AI19" si="10">V9/12/C9*1000</f>
        <v>112333.3</v>
      </c>
      <c r="AJ9" s="114"/>
      <c r="AK9" s="114">
        <f t="shared" ref="AK9:AK20" si="11">V9/C9</f>
        <v>1348</v>
      </c>
      <c r="AL9" s="114">
        <f>((979*0.302)+((AK9-979)*0.182))</f>
        <v>362.8</v>
      </c>
      <c r="AM9" s="115">
        <f>AL9/AK9</f>
        <v>0.26900000000000002</v>
      </c>
      <c r="AN9" s="50">
        <f>1150*0.22*C9+(V9-1150*C9)*0.1</f>
        <v>272.8</v>
      </c>
      <c r="AO9" s="116">
        <f>865*0.029</f>
        <v>25.1</v>
      </c>
      <c r="AP9" s="116">
        <f>AK9*0.053</f>
        <v>71.400000000000006</v>
      </c>
      <c r="AQ9" s="50">
        <f>SUM(AN9:AP9)</f>
        <v>369.3</v>
      </c>
      <c r="AS9" s="115"/>
    </row>
    <row r="10" spans="1:45" ht="13.8" x14ac:dyDescent="0.25">
      <c r="A10" s="284">
        <v>2</v>
      </c>
      <c r="B10" s="106" t="s">
        <v>125</v>
      </c>
      <c r="C10" s="284">
        <v>1</v>
      </c>
      <c r="D10" s="107">
        <v>17.972000000000001</v>
      </c>
      <c r="E10" s="108">
        <f t="shared" si="0"/>
        <v>17.97</v>
      </c>
      <c r="F10" s="109">
        <f t="shared" si="1"/>
        <v>215.6</v>
      </c>
      <c r="G10" s="110"/>
      <c r="H10" s="110"/>
      <c r="I10" s="110"/>
      <c r="J10" s="110"/>
      <c r="K10" s="95">
        <f>F10*0.3</f>
        <v>64.7</v>
      </c>
      <c r="L10" s="95">
        <f t="shared" ref="L10:L20" si="12">$L$4*F10</f>
        <v>8.3000000000000007</v>
      </c>
      <c r="M10" s="95">
        <f t="shared" si="2"/>
        <v>288.60000000000002</v>
      </c>
      <c r="N10" s="111">
        <v>0.47</v>
      </c>
      <c r="O10" s="95">
        <f t="shared" si="3"/>
        <v>135.6</v>
      </c>
      <c r="P10" s="95">
        <f t="shared" si="4"/>
        <v>424.2</v>
      </c>
      <c r="Q10" s="95">
        <f t="shared" si="5"/>
        <v>339.4</v>
      </c>
      <c r="R10" s="95">
        <f t="shared" si="6"/>
        <v>339.4</v>
      </c>
      <c r="S10" s="95">
        <f t="shared" si="7"/>
        <v>35.299999999999997</v>
      </c>
      <c r="T10" s="95">
        <f t="shared" ref="T10:T19" si="13">P10+Q10+R10+S10</f>
        <v>1138.3</v>
      </c>
      <c r="U10" s="1556"/>
      <c r="V10" s="95">
        <f>T10*$U$9</f>
        <v>1138.3</v>
      </c>
      <c r="W10" s="95">
        <f>AQ10</f>
        <v>337.2</v>
      </c>
      <c r="X10" s="284"/>
      <c r="Y10" s="112">
        <v>30</v>
      </c>
      <c r="Z10" s="113">
        <f t="shared" si="8"/>
        <v>0</v>
      </c>
      <c r="AA10" s="284"/>
      <c r="AB10" s="112">
        <v>15</v>
      </c>
      <c r="AC10" s="113">
        <f t="shared" si="9"/>
        <v>0</v>
      </c>
      <c r="AD10" s="284"/>
      <c r="AE10" s="112">
        <v>30</v>
      </c>
      <c r="AF10" s="113">
        <f t="shared" ref="AF10:AF20" si="14">AD10*AE10</f>
        <v>0</v>
      </c>
      <c r="AG10" s="113">
        <f t="shared" ref="AG10:AG20" si="15">(Z10+AC10+AF10)*1%*30</f>
        <v>0</v>
      </c>
      <c r="AH10" s="113">
        <f t="shared" ref="AH10:AH20" si="16">Z10+AC10+AF10+AG10</f>
        <v>0</v>
      </c>
      <c r="AI10" s="114">
        <f t="shared" si="10"/>
        <v>94858.3</v>
      </c>
      <c r="AJ10" s="114"/>
      <c r="AK10" s="114">
        <f t="shared" si="11"/>
        <v>1138.3</v>
      </c>
      <c r="AL10" s="114">
        <f t="shared" ref="AL10:AL20" si="17">((979*0.302)+((AK10-979)*0.182))</f>
        <v>324.7</v>
      </c>
      <c r="AM10" s="115">
        <f>AL10/AK10</f>
        <v>0.28499999999999998</v>
      </c>
      <c r="AN10" s="50">
        <f>1150*0.22*C10+(V10-1150*C10)*0.1</f>
        <v>251.8</v>
      </c>
      <c r="AO10" s="116">
        <f>865*0.029</f>
        <v>25.1</v>
      </c>
      <c r="AP10" s="116">
        <f>AK10*0.053</f>
        <v>60.3</v>
      </c>
      <c r="AQ10" s="50">
        <f>SUM(AN10:AP10)</f>
        <v>337.2</v>
      </c>
      <c r="AS10" s="115"/>
    </row>
    <row r="11" spans="1:45" ht="13.8" x14ac:dyDescent="0.25">
      <c r="A11" s="284">
        <v>3</v>
      </c>
      <c r="B11" s="117" t="s">
        <v>29</v>
      </c>
      <c r="C11" s="118">
        <v>1</v>
      </c>
      <c r="D11" s="107">
        <v>8.4730000000000008</v>
      </c>
      <c r="E11" s="119">
        <f t="shared" si="0"/>
        <v>8.4700000000000006</v>
      </c>
      <c r="F11" s="110">
        <f t="shared" si="1"/>
        <v>101.6</v>
      </c>
      <c r="G11" s="110"/>
      <c r="H11" s="110"/>
      <c r="I11" s="110"/>
      <c r="J11" s="110"/>
      <c r="K11" s="95"/>
      <c r="L11" s="95">
        <f t="shared" si="12"/>
        <v>3.9</v>
      </c>
      <c r="M11" s="95">
        <f t="shared" si="2"/>
        <v>105.5</v>
      </c>
      <c r="N11" s="111">
        <v>0.41</v>
      </c>
      <c r="O11" s="95">
        <f t="shared" si="3"/>
        <v>43.3</v>
      </c>
      <c r="P11" s="95">
        <f t="shared" si="4"/>
        <v>148.80000000000001</v>
      </c>
      <c r="Q11" s="95">
        <f t="shared" si="5"/>
        <v>119</v>
      </c>
      <c r="R11" s="95">
        <f t="shared" si="6"/>
        <v>119</v>
      </c>
      <c r="S11" s="95">
        <f t="shared" si="7"/>
        <v>12.4</v>
      </c>
      <c r="T11" s="95">
        <f t="shared" si="13"/>
        <v>399.2</v>
      </c>
      <c r="U11" s="1556"/>
      <c r="V11" s="95">
        <f t="shared" ref="V11:V19" si="18">T11*$U$9</f>
        <v>399.2</v>
      </c>
      <c r="W11" s="95">
        <f t="shared" ref="W11:W20" si="19">V11*0.302</f>
        <v>120.6</v>
      </c>
      <c r="X11" s="120"/>
      <c r="Y11" s="112">
        <v>30</v>
      </c>
      <c r="Z11" s="113">
        <f t="shared" si="8"/>
        <v>0</v>
      </c>
      <c r="AA11" s="120"/>
      <c r="AB11" s="112">
        <v>15</v>
      </c>
      <c r="AC11" s="113">
        <f t="shared" si="9"/>
        <v>0</v>
      </c>
      <c r="AD11" s="120"/>
      <c r="AE11" s="112">
        <v>30</v>
      </c>
      <c r="AF11" s="113">
        <f t="shared" si="14"/>
        <v>0</v>
      </c>
      <c r="AG11" s="113">
        <f t="shared" si="15"/>
        <v>0</v>
      </c>
      <c r="AH11" s="113">
        <f t="shared" si="16"/>
        <v>0</v>
      </c>
      <c r="AI11" s="114">
        <f t="shared" si="10"/>
        <v>33266.699999999997</v>
      </c>
      <c r="AJ11" s="114"/>
      <c r="AK11" s="114">
        <f t="shared" si="11"/>
        <v>399.2</v>
      </c>
      <c r="AL11" s="114">
        <f t="shared" si="17"/>
        <v>190.1</v>
      </c>
      <c r="AM11" s="115">
        <v>0.30199999999999999</v>
      </c>
      <c r="AN11" s="116"/>
      <c r="AO11" s="116"/>
      <c r="AP11" s="116"/>
      <c r="AQ11" s="116"/>
      <c r="AS11" s="115"/>
    </row>
    <row r="12" spans="1:45" s="126" customFormat="1" ht="13.8" x14ac:dyDescent="0.25">
      <c r="A12" s="284">
        <v>4</v>
      </c>
      <c r="B12" s="121" t="s">
        <v>31</v>
      </c>
      <c r="C12" s="122">
        <v>1</v>
      </c>
      <c r="D12" s="107">
        <v>11.061999999999999</v>
      </c>
      <c r="E12" s="123">
        <f t="shared" si="0"/>
        <v>11.06</v>
      </c>
      <c r="F12" s="124">
        <f t="shared" si="1"/>
        <v>132.69999999999999</v>
      </c>
      <c r="G12" s="124"/>
      <c r="H12" s="124"/>
      <c r="I12" s="124"/>
      <c r="J12" s="125"/>
      <c r="K12" s="96"/>
      <c r="L12" s="95">
        <f t="shared" si="12"/>
        <v>5.0999999999999996</v>
      </c>
      <c r="M12" s="96">
        <f t="shared" si="2"/>
        <v>137.80000000000001</v>
      </c>
      <c r="N12" s="111">
        <v>0.47</v>
      </c>
      <c r="O12" s="96">
        <f t="shared" si="3"/>
        <v>64.8</v>
      </c>
      <c r="P12" s="96">
        <f t="shared" si="4"/>
        <v>202.6</v>
      </c>
      <c r="Q12" s="96">
        <f t="shared" si="5"/>
        <v>162.1</v>
      </c>
      <c r="R12" s="96">
        <f t="shared" si="6"/>
        <v>162.1</v>
      </c>
      <c r="S12" s="96">
        <f t="shared" si="7"/>
        <v>16.899999999999999</v>
      </c>
      <c r="T12" s="96">
        <f t="shared" si="13"/>
        <v>543.70000000000005</v>
      </c>
      <c r="U12" s="1556"/>
      <c r="V12" s="96">
        <f t="shared" si="18"/>
        <v>543.70000000000005</v>
      </c>
      <c r="W12" s="95">
        <f t="shared" si="19"/>
        <v>164.2</v>
      </c>
      <c r="X12" s="122">
        <v>1</v>
      </c>
      <c r="Y12" s="112">
        <v>30</v>
      </c>
      <c r="Z12" s="113">
        <f t="shared" si="8"/>
        <v>30</v>
      </c>
      <c r="AA12" s="122"/>
      <c r="AB12" s="112">
        <v>15</v>
      </c>
      <c r="AC12" s="113">
        <f t="shared" si="9"/>
        <v>0</v>
      </c>
      <c r="AD12" s="122"/>
      <c r="AE12" s="112">
        <v>30</v>
      </c>
      <c r="AF12" s="113">
        <f t="shared" si="14"/>
        <v>0</v>
      </c>
      <c r="AG12" s="113">
        <f t="shared" si="15"/>
        <v>9</v>
      </c>
      <c r="AH12" s="113">
        <f t="shared" si="16"/>
        <v>39</v>
      </c>
      <c r="AI12" s="114">
        <f t="shared" si="10"/>
        <v>45308.3</v>
      </c>
      <c r="AJ12" s="114"/>
      <c r="AK12" s="114">
        <f t="shared" si="11"/>
        <v>543.70000000000005</v>
      </c>
      <c r="AL12" s="114">
        <f t="shared" si="17"/>
        <v>216.4</v>
      </c>
      <c r="AM12" s="115">
        <v>0.30199999999999999</v>
      </c>
      <c r="AN12" s="22"/>
      <c r="AO12" s="116"/>
      <c r="AP12" s="116"/>
      <c r="AQ12" s="116"/>
      <c r="AS12" s="115"/>
    </row>
    <row r="13" spans="1:45" ht="26.4" x14ac:dyDescent="0.25">
      <c r="A13" s="284">
        <v>5</v>
      </c>
      <c r="B13" s="117" t="s">
        <v>108</v>
      </c>
      <c r="C13" s="127">
        <v>2</v>
      </c>
      <c r="D13" s="107">
        <v>8.4730000000000008</v>
      </c>
      <c r="E13" s="119">
        <f t="shared" si="0"/>
        <v>16.95</v>
      </c>
      <c r="F13" s="110">
        <f t="shared" si="1"/>
        <v>203.4</v>
      </c>
      <c r="G13" s="110"/>
      <c r="H13" s="110"/>
      <c r="I13" s="110"/>
      <c r="J13" s="110"/>
      <c r="K13" s="95">
        <f>F13*0.25</f>
        <v>50.9</v>
      </c>
      <c r="L13" s="95">
        <f t="shared" si="12"/>
        <v>7.8</v>
      </c>
      <c r="M13" s="95">
        <f t="shared" si="2"/>
        <v>262.10000000000002</v>
      </c>
      <c r="N13" s="111">
        <v>0.47</v>
      </c>
      <c r="O13" s="95">
        <f t="shared" si="3"/>
        <v>123.2</v>
      </c>
      <c r="P13" s="95">
        <f t="shared" si="4"/>
        <v>385.3</v>
      </c>
      <c r="Q13" s="95">
        <f t="shared" si="5"/>
        <v>308.2</v>
      </c>
      <c r="R13" s="95">
        <f t="shared" si="6"/>
        <v>308.2</v>
      </c>
      <c r="S13" s="95">
        <f t="shared" si="7"/>
        <v>32.1</v>
      </c>
      <c r="T13" s="95">
        <f t="shared" si="13"/>
        <v>1033.8</v>
      </c>
      <c r="U13" s="1556"/>
      <c r="V13" s="95">
        <f>T13*$U$9</f>
        <v>1033.8</v>
      </c>
      <c r="W13" s="95">
        <f t="shared" si="19"/>
        <v>312.2</v>
      </c>
      <c r="X13" s="284">
        <v>1</v>
      </c>
      <c r="Y13" s="112">
        <v>30</v>
      </c>
      <c r="Z13" s="113">
        <f t="shared" si="8"/>
        <v>30</v>
      </c>
      <c r="AA13" s="127">
        <v>1</v>
      </c>
      <c r="AB13" s="112">
        <v>15</v>
      </c>
      <c r="AC13" s="113">
        <f t="shared" si="9"/>
        <v>15</v>
      </c>
      <c r="AD13" s="127"/>
      <c r="AE13" s="112">
        <v>30</v>
      </c>
      <c r="AF13" s="113">
        <f t="shared" si="14"/>
        <v>0</v>
      </c>
      <c r="AG13" s="113">
        <f t="shared" si="15"/>
        <v>13.5</v>
      </c>
      <c r="AH13" s="113">
        <f t="shared" si="16"/>
        <v>58.5</v>
      </c>
      <c r="AI13" s="114">
        <f t="shared" si="10"/>
        <v>43075</v>
      </c>
      <c r="AJ13" s="114"/>
      <c r="AK13" s="114">
        <f t="shared" si="11"/>
        <v>516.9</v>
      </c>
      <c r="AL13" s="114">
        <f t="shared" si="17"/>
        <v>211.6</v>
      </c>
      <c r="AM13" s="115">
        <v>0.30199999999999999</v>
      </c>
      <c r="AQ13" s="116"/>
      <c r="AS13" s="115"/>
    </row>
    <row r="14" spans="1:45" ht="13.8" x14ac:dyDescent="0.25">
      <c r="A14" s="284">
        <v>6</v>
      </c>
      <c r="B14" s="117" t="s">
        <v>32</v>
      </c>
      <c r="C14" s="128">
        <v>1</v>
      </c>
      <c r="D14" s="107">
        <v>11.061999999999999</v>
      </c>
      <c r="E14" s="119">
        <f t="shared" si="0"/>
        <v>11.06</v>
      </c>
      <c r="F14" s="110">
        <f t="shared" si="1"/>
        <v>132.69999999999999</v>
      </c>
      <c r="G14" s="110"/>
      <c r="H14" s="110"/>
      <c r="I14" s="110"/>
      <c r="J14" s="110"/>
      <c r="K14" s="95"/>
      <c r="L14" s="95">
        <f t="shared" si="12"/>
        <v>5.0999999999999996</v>
      </c>
      <c r="M14" s="95">
        <f t="shared" si="2"/>
        <v>137.80000000000001</v>
      </c>
      <c r="N14" s="111">
        <v>0.43</v>
      </c>
      <c r="O14" s="95">
        <f t="shared" si="3"/>
        <v>59.3</v>
      </c>
      <c r="P14" s="95">
        <f t="shared" si="4"/>
        <v>197.1</v>
      </c>
      <c r="Q14" s="95">
        <f t="shared" si="5"/>
        <v>157.69999999999999</v>
      </c>
      <c r="R14" s="95">
        <f t="shared" si="6"/>
        <v>157.69999999999999</v>
      </c>
      <c r="S14" s="95">
        <f t="shared" si="7"/>
        <v>16.399999999999999</v>
      </c>
      <c r="T14" s="95">
        <f t="shared" si="13"/>
        <v>528.9</v>
      </c>
      <c r="U14" s="1556"/>
      <c r="V14" s="95">
        <f t="shared" si="18"/>
        <v>528.9</v>
      </c>
      <c r="W14" s="95">
        <f t="shared" si="19"/>
        <v>159.69999999999999</v>
      </c>
      <c r="X14" s="284">
        <v>1</v>
      </c>
      <c r="Y14" s="112">
        <v>30</v>
      </c>
      <c r="Z14" s="113">
        <f t="shared" si="8"/>
        <v>30</v>
      </c>
      <c r="AA14" s="127"/>
      <c r="AB14" s="112">
        <v>15</v>
      </c>
      <c r="AC14" s="113">
        <f t="shared" si="9"/>
        <v>0</v>
      </c>
      <c r="AD14" s="127"/>
      <c r="AE14" s="112">
        <v>30</v>
      </c>
      <c r="AF14" s="113">
        <f t="shared" si="14"/>
        <v>0</v>
      </c>
      <c r="AG14" s="113">
        <f t="shared" si="15"/>
        <v>9</v>
      </c>
      <c r="AH14" s="113">
        <f t="shared" si="16"/>
        <v>39</v>
      </c>
      <c r="AI14" s="114">
        <f t="shared" si="10"/>
        <v>44075</v>
      </c>
      <c r="AJ14" s="114"/>
      <c r="AK14" s="114">
        <f t="shared" si="11"/>
        <v>528.9</v>
      </c>
      <c r="AL14" s="114">
        <f t="shared" si="17"/>
        <v>213.7</v>
      </c>
      <c r="AM14" s="115">
        <v>0.30199999999999999</v>
      </c>
      <c r="AO14" s="116"/>
      <c r="AP14" s="116"/>
      <c r="AQ14" s="116"/>
      <c r="AS14" s="115"/>
    </row>
    <row r="15" spans="1:45" x14ac:dyDescent="0.25">
      <c r="A15" s="284">
        <v>7</v>
      </c>
      <c r="B15" s="129" t="s">
        <v>23</v>
      </c>
      <c r="C15" s="128">
        <v>1</v>
      </c>
      <c r="D15" s="107">
        <v>11.061999999999999</v>
      </c>
      <c r="E15" s="119">
        <f t="shared" si="0"/>
        <v>11.06</v>
      </c>
      <c r="F15" s="110">
        <f t="shared" si="1"/>
        <v>132.69999999999999</v>
      </c>
      <c r="G15" s="110"/>
      <c r="H15" s="110"/>
      <c r="I15" s="110"/>
      <c r="J15" s="110"/>
      <c r="K15" s="95">
        <f>D15*0.3*9+D15*0.35*3</f>
        <v>41.5</v>
      </c>
      <c r="L15" s="95">
        <f t="shared" si="12"/>
        <v>5.0999999999999996</v>
      </c>
      <c r="M15" s="95">
        <f t="shared" si="2"/>
        <v>179.3</v>
      </c>
      <c r="N15" s="111">
        <v>0.43</v>
      </c>
      <c r="O15" s="95">
        <f t="shared" si="3"/>
        <v>77.099999999999994</v>
      </c>
      <c r="P15" s="95">
        <f t="shared" si="4"/>
        <v>256.39999999999998</v>
      </c>
      <c r="Q15" s="95">
        <f t="shared" si="5"/>
        <v>205.1</v>
      </c>
      <c r="R15" s="95">
        <f t="shared" si="6"/>
        <v>205.1</v>
      </c>
      <c r="S15" s="95">
        <f t="shared" si="7"/>
        <v>21.3</v>
      </c>
      <c r="T15" s="95">
        <f t="shared" si="13"/>
        <v>687.9</v>
      </c>
      <c r="U15" s="1556"/>
      <c r="V15" s="95">
        <f t="shared" si="18"/>
        <v>687.9</v>
      </c>
      <c r="W15" s="95">
        <f t="shared" si="19"/>
        <v>207.7</v>
      </c>
      <c r="X15" s="118"/>
      <c r="Y15" s="112">
        <v>30</v>
      </c>
      <c r="Z15" s="113">
        <f t="shared" si="8"/>
        <v>0</v>
      </c>
      <c r="AA15" s="118"/>
      <c r="AB15" s="112">
        <v>15</v>
      </c>
      <c r="AC15" s="113">
        <f t="shared" si="9"/>
        <v>0</v>
      </c>
      <c r="AD15" s="118"/>
      <c r="AE15" s="112">
        <v>30</v>
      </c>
      <c r="AF15" s="113">
        <f t="shared" si="14"/>
        <v>0</v>
      </c>
      <c r="AG15" s="113">
        <f t="shared" si="15"/>
        <v>0</v>
      </c>
      <c r="AH15" s="113">
        <f t="shared" si="16"/>
        <v>0</v>
      </c>
      <c r="AI15" s="114">
        <f t="shared" si="10"/>
        <v>57325</v>
      </c>
      <c r="AJ15" s="114"/>
      <c r="AK15" s="114">
        <f t="shared" si="11"/>
        <v>687.9</v>
      </c>
      <c r="AL15" s="114">
        <f t="shared" si="17"/>
        <v>242.7</v>
      </c>
      <c r="AM15" s="115">
        <v>0.30199999999999999</v>
      </c>
      <c r="AS15" s="115"/>
    </row>
    <row r="16" spans="1:45" ht="13.8" x14ac:dyDescent="0.25">
      <c r="A16" s="284">
        <v>8</v>
      </c>
      <c r="B16" s="129" t="s">
        <v>33</v>
      </c>
      <c r="C16" s="128">
        <v>2</v>
      </c>
      <c r="D16" s="107">
        <v>8.4730000000000008</v>
      </c>
      <c r="E16" s="119">
        <f t="shared" si="0"/>
        <v>16.95</v>
      </c>
      <c r="F16" s="110">
        <f t="shared" si="1"/>
        <v>203.4</v>
      </c>
      <c r="G16" s="124">
        <f>29314.2/1000</f>
        <v>29.3</v>
      </c>
      <c r="H16" s="110">
        <f>9637.5/1000</f>
        <v>9.6</v>
      </c>
      <c r="I16" s="110"/>
      <c r="J16" s="110"/>
      <c r="K16" s="95">
        <f>D16*0.25*10+D16*0.3*2+F16*0.35</f>
        <v>97.5</v>
      </c>
      <c r="L16" s="95">
        <f t="shared" si="12"/>
        <v>7.8</v>
      </c>
      <c r="M16" s="95">
        <f t="shared" si="2"/>
        <v>347.6</v>
      </c>
      <c r="N16" s="111">
        <v>0.41</v>
      </c>
      <c r="O16" s="95">
        <f t="shared" si="3"/>
        <v>142.5</v>
      </c>
      <c r="P16" s="95">
        <f t="shared" si="4"/>
        <v>490.1</v>
      </c>
      <c r="Q16" s="95">
        <f t="shared" si="5"/>
        <v>392.1</v>
      </c>
      <c r="R16" s="95">
        <f t="shared" si="6"/>
        <v>392.1</v>
      </c>
      <c r="S16" s="95">
        <f t="shared" si="7"/>
        <v>40.799999999999997</v>
      </c>
      <c r="T16" s="95">
        <f t="shared" si="13"/>
        <v>1315.1</v>
      </c>
      <c r="U16" s="1556"/>
      <c r="V16" s="95">
        <f t="shared" si="18"/>
        <v>1315.1</v>
      </c>
      <c r="W16" s="95">
        <f t="shared" si="19"/>
        <v>397.2</v>
      </c>
      <c r="X16" s="118">
        <v>1</v>
      </c>
      <c r="Y16" s="112">
        <v>30</v>
      </c>
      <c r="Z16" s="113">
        <f t="shared" si="8"/>
        <v>30</v>
      </c>
      <c r="AA16" s="118"/>
      <c r="AB16" s="112">
        <v>15</v>
      </c>
      <c r="AC16" s="113">
        <f t="shared" si="9"/>
        <v>0</v>
      </c>
      <c r="AD16" s="118"/>
      <c r="AE16" s="112">
        <v>30</v>
      </c>
      <c r="AF16" s="113">
        <f t="shared" si="14"/>
        <v>0</v>
      </c>
      <c r="AG16" s="113">
        <f t="shared" si="15"/>
        <v>9</v>
      </c>
      <c r="AH16" s="113">
        <f t="shared" si="16"/>
        <v>39</v>
      </c>
      <c r="AI16" s="114">
        <f t="shared" si="10"/>
        <v>54795.8</v>
      </c>
      <c r="AJ16" s="114"/>
      <c r="AK16" s="114">
        <f t="shared" si="11"/>
        <v>657.6</v>
      </c>
      <c r="AL16" s="114">
        <f t="shared" si="17"/>
        <v>237.2</v>
      </c>
      <c r="AM16" s="115">
        <v>0.30199999999999999</v>
      </c>
      <c r="AO16" s="116"/>
      <c r="AP16" s="116"/>
      <c r="AQ16" s="116"/>
      <c r="AS16" s="115"/>
    </row>
    <row r="17" spans="1:45" ht="52.8" x14ac:dyDescent="0.25">
      <c r="A17" s="284">
        <v>9</v>
      </c>
      <c r="B17" s="117" t="s">
        <v>103</v>
      </c>
      <c r="C17" s="128">
        <v>1</v>
      </c>
      <c r="D17" s="107">
        <v>4.4569999999999999</v>
      </c>
      <c r="E17" s="119">
        <f t="shared" si="0"/>
        <v>4.46</v>
      </c>
      <c r="F17" s="110">
        <f t="shared" si="1"/>
        <v>53.5</v>
      </c>
      <c r="G17" s="110"/>
      <c r="H17" s="110"/>
      <c r="I17" s="110"/>
      <c r="J17" s="110"/>
      <c r="K17" s="95"/>
      <c r="L17" s="95">
        <f t="shared" si="12"/>
        <v>2.1</v>
      </c>
      <c r="M17" s="95">
        <f t="shared" si="2"/>
        <v>55.6</v>
      </c>
      <c r="N17" s="111">
        <v>0.61</v>
      </c>
      <c r="O17" s="95">
        <f t="shared" si="3"/>
        <v>33.9</v>
      </c>
      <c r="P17" s="95">
        <f t="shared" si="4"/>
        <v>89.5</v>
      </c>
      <c r="Q17" s="95">
        <f t="shared" si="5"/>
        <v>71.599999999999994</v>
      </c>
      <c r="R17" s="95">
        <f t="shared" si="6"/>
        <v>71.599999999999994</v>
      </c>
      <c r="S17" s="95">
        <f t="shared" si="7"/>
        <v>7.4</v>
      </c>
      <c r="T17" s="95">
        <f t="shared" si="13"/>
        <v>240.1</v>
      </c>
      <c r="U17" s="1556"/>
      <c r="V17" s="95">
        <f>T17*$U$9</f>
        <v>240.1</v>
      </c>
      <c r="W17" s="95">
        <f t="shared" si="19"/>
        <v>72.5</v>
      </c>
      <c r="X17" s="118"/>
      <c r="Y17" s="112">
        <v>30</v>
      </c>
      <c r="Z17" s="113">
        <f t="shared" si="8"/>
        <v>0</v>
      </c>
      <c r="AA17" s="118"/>
      <c r="AB17" s="112">
        <v>15</v>
      </c>
      <c r="AC17" s="113">
        <f t="shared" si="9"/>
        <v>0</v>
      </c>
      <c r="AD17" s="118"/>
      <c r="AE17" s="112">
        <v>30</v>
      </c>
      <c r="AF17" s="113">
        <f t="shared" si="14"/>
        <v>0</v>
      </c>
      <c r="AG17" s="113">
        <f t="shared" si="15"/>
        <v>0</v>
      </c>
      <c r="AH17" s="113">
        <f t="shared" si="16"/>
        <v>0</v>
      </c>
      <c r="AI17" s="114">
        <f t="shared" si="10"/>
        <v>20008.3</v>
      </c>
      <c r="AJ17" s="114"/>
      <c r="AK17" s="114">
        <f t="shared" si="11"/>
        <v>240.1</v>
      </c>
      <c r="AL17" s="114">
        <f t="shared" si="17"/>
        <v>161.19999999999999</v>
      </c>
      <c r="AM17" s="115">
        <v>0.30199999999999999</v>
      </c>
      <c r="AN17" s="130"/>
      <c r="AO17" s="130"/>
      <c r="AP17" s="130"/>
      <c r="AS17" s="115"/>
    </row>
    <row r="18" spans="1:45" s="126" customFormat="1" ht="26.4" x14ac:dyDescent="0.25">
      <c r="A18" s="284">
        <v>10</v>
      </c>
      <c r="B18" s="129" t="s">
        <v>34</v>
      </c>
      <c r="C18" s="122">
        <v>3</v>
      </c>
      <c r="D18" s="107">
        <v>7.1950000000000003</v>
      </c>
      <c r="E18" s="123">
        <f t="shared" si="0"/>
        <v>21.59</v>
      </c>
      <c r="F18" s="124">
        <f t="shared" si="1"/>
        <v>259.10000000000002</v>
      </c>
      <c r="G18" s="124">
        <f>44329.4/1000</f>
        <v>44.3</v>
      </c>
      <c r="H18" s="124">
        <f>16367.8/1000</f>
        <v>16.399999999999999</v>
      </c>
      <c r="I18" s="124"/>
      <c r="J18" s="125"/>
      <c r="K18" s="96"/>
      <c r="L18" s="95">
        <f t="shared" si="12"/>
        <v>9.9</v>
      </c>
      <c r="M18" s="96">
        <f t="shared" si="2"/>
        <v>329.7</v>
      </c>
      <c r="N18" s="111">
        <v>0.41</v>
      </c>
      <c r="O18" s="96">
        <f t="shared" si="3"/>
        <v>135.19999999999999</v>
      </c>
      <c r="P18" s="96">
        <f t="shared" si="4"/>
        <v>464.9</v>
      </c>
      <c r="Q18" s="96">
        <f t="shared" si="5"/>
        <v>371.9</v>
      </c>
      <c r="R18" s="96">
        <f t="shared" si="6"/>
        <v>371.9</v>
      </c>
      <c r="S18" s="96">
        <f t="shared" si="7"/>
        <v>38.700000000000003</v>
      </c>
      <c r="T18" s="96">
        <f t="shared" si="13"/>
        <v>1247.4000000000001</v>
      </c>
      <c r="U18" s="1556"/>
      <c r="V18" s="96">
        <f t="shared" si="18"/>
        <v>1247.4000000000001</v>
      </c>
      <c r="W18" s="95">
        <f t="shared" si="19"/>
        <v>376.7</v>
      </c>
      <c r="X18" s="284">
        <v>1</v>
      </c>
      <c r="Y18" s="112">
        <v>30</v>
      </c>
      <c r="Z18" s="113">
        <f t="shared" si="8"/>
        <v>30</v>
      </c>
      <c r="AA18" s="284"/>
      <c r="AB18" s="112">
        <v>15</v>
      </c>
      <c r="AC18" s="113">
        <f t="shared" si="9"/>
        <v>0</v>
      </c>
      <c r="AD18" s="284"/>
      <c r="AE18" s="112">
        <v>30</v>
      </c>
      <c r="AF18" s="113">
        <f t="shared" si="14"/>
        <v>0</v>
      </c>
      <c r="AG18" s="113">
        <f t="shared" si="15"/>
        <v>9</v>
      </c>
      <c r="AH18" s="113">
        <f t="shared" si="16"/>
        <v>39</v>
      </c>
      <c r="AI18" s="114">
        <f t="shared" si="10"/>
        <v>34650</v>
      </c>
      <c r="AJ18" s="114"/>
      <c r="AK18" s="114">
        <f t="shared" si="11"/>
        <v>415.8</v>
      </c>
      <c r="AL18" s="114">
        <f t="shared" si="17"/>
        <v>193.2</v>
      </c>
      <c r="AM18" s="115">
        <v>0.30199999999999999</v>
      </c>
      <c r="AN18" s="130"/>
      <c r="AO18" s="130"/>
      <c r="AP18" s="130"/>
      <c r="AQ18" s="22"/>
      <c r="AS18" s="115"/>
    </row>
    <row r="19" spans="1:45" s="126" customFormat="1" x14ac:dyDescent="0.25">
      <c r="A19" s="284">
        <v>11</v>
      </c>
      <c r="B19" s="129" t="s">
        <v>35</v>
      </c>
      <c r="C19" s="122">
        <v>1</v>
      </c>
      <c r="D19" s="107">
        <v>4.4569999999999999</v>
      </c>
      <c r="E19" s="123">
        <f t="shared" si="0"/>
        <v>4.46</v>
      </c>
      <c r="F19" s="124">
        <f t="shared" si="1"/>
        <v>53.5</v>
      </c>
      <c r="G19" s="124"/>
      <c r="H19" s="124"/>
      <c r="I19" s="124"/>
      <c r="J19" s="125"/>
      <c r="K19" s="96"/>
      <c r="L19" s="95">
        <f t="shared" si="12"/>
        <v>2.1</v>
      </c>
      <c r="M19" s="96">
        <f t="shared" si="2"/>
        <v>55.6</v>
      </c>
      <c r="N19" s="111">
        <v>0.61</v>
      </c>
      <c r="O19" s="96">
        <f t="shared" si="3"/>
        <v>33.9</v>
      </c>
      <c r="P19" s="96">
        <f t="shared" si="4"/>
        <v>89.5</v>
      </c>
      <c r="Q19" s="96">
        <f t="shared" si="5"/>
        <v>71.599999999999994</v>
      </c>
      <c r="R19" s="96">
        <f t="shared" si="6"/>
        <v>71.599999999999994</v>
      </c>
      <c r="S19" s="96">
        <f t="shared" si="7"/>
        <v>7.4</v>
      </c>
      <c r="T19" s="96">
        <f t="shared" si="13"/>
        <v>240.1</v>
      </c>
      <c r="U19" s="1556"/>
      <c r="V19" s="96">
        <f t="shared" si="18"/>
        <v>240.1</v>
      </c>
      <c r="W19" s="95">
        <f t="shared" si="19"/>
        <v>72.5</v>
      </c>
      <c r="X19" s="284"/>
      <c r="Y19" s="112">
        <v>30</v>
      </c>
      <c r="Z19" s="113">
        <f t="shared" si="8"/>
        <v>0</v>
      </c>
      <c r="AA19" s="284"/>
      <c r="AB19" s="112">
        <v>15</v>
      </c>
      <c r="AC19" s="113">
        <f t="shared" si="9"/>
        <v>0</v>
      </c>
      <c r="AD19" s="284"/>
      <c r="AE19" s="112">
        <v>30</v>
      </c>
      <c r="AF19" s="113">
        <f t="shared" si="14"/>
        <v>0</v>
      </c>
      <c r="AG19" s="113">
        <f t="shared" si="15"/>
        <v>0</v>
      </c>
      <c r="AH19" s="113">
        <f t="shared" si="16"/>
        <v>0</v>
      </c>
      <c r="AI19" s="114">
        <f t="shared" si="10"/>
        <v>20008.3</v>
      </c>
      <c r="AJ19" s="114"/>
      <c r="AK19" s="114">
        <f t="shared" si="11"/>
        <v>240.1</v>
      </c>
      <c r="AL19" s="114">
        <f t="shared" si="17"/>
        <v>161.19999999999999</v>
      </c>
      <c r="AM19" s="115">
        <v>0.30199999999999999</v>
      </c>
      <c r="AN19" s="130"/>
      <c r="AO19" s="130"/>
      <c r="AP19" s="130"/>
      <c r="AQ19" s="22"/>
      <c r="AS19" s="115"/>
    </row>
    <row r="20" spans="1:45" s="126" customFormat="1" x14ac:dyDescent="0.25">
      <c r="A20" s="284">
        <v>12</v>
      </c>
      <c r="B20" s="129" t="s">
        <v>25</v>
      </c>
      <c r="C20" s="125">
        <v>0.5</v>
      </c>
      <c r="D20" s="107">
        <v>4.3109999999999999</v>
      </c>
      <c r="E20" s="123">
        <f t="shared" si="0"/>
        <v>2.16</v>
      </c>
      <c r="F20" s="124">
        <f>E20*12</f>
        <v>25.9</v>
      </c>
      <c r="G20" s="124">
        <f>5056.7/1000</f>
        <v>5.0999999999999996</v>
      </c>
      <c r="H20" s="124">
        <f>437.8/1000</f>
        <v>0.4</v>
      </c>
      <c r="I20" s="124"/>
      <c r="J20" s="125"/>
      <c r="K20" s="96"/>
      <c r="L20" s="95">
        <f t="shared" si="12"/>
        <v>1</v>
      </c>
      <c r="M20" s="96">
        <f>F20+G20+H20+I20+J20+K20+L20</f>
        <v>32.4</v>
      </c>
      <c r="N20" s="111">
        <v>0.75</v>
      </c>
      <c r="O20" s="96">
        <f>M20*N20</f>
        <v>24.3</v>
      </c>
      <c r="P20" s="96">
        <f>M20+O20</f>
        <v>56.7</v>
      </c>
      <c r="Q20" s="96">
        <f>P20*0.8</f>
        <v>45.4</v>
      </c>
      <c r="R20" s="96">
        <f>P20*0.8</f>
        <v>45.4</v>
      </c>
      <c r="S20" s="96">
        <f>(P20+Q20+R20)*0.032</f>
        <v>4.7</v>
      </c>
      <c r="T20" s="96">
        <f>P20+Q20+R20+S20</f>
        <v>152.19999999999999</v>
      </c>
      <c r="U20" s="1556"/>
      <c r="V20" s="96">
        <f>T20*$U$9</f>
        <v>152.19999999999999</v>
      </c>
      <c r="W20" s="95">
        <f t="shared" si="19"/>
        <v>46</v>
      </c>
      <c r="X20" s="284"/>
      <c r="Y20" s="112">
        <v>30</v>
      </c>
      <c r="Z20" s="113">
        <f t="shared" si="8"/>
        <v>0</v>
      </c>
      <c r="AA20" s="284"/>
      <c r="AB20" s="112">
        <v>15</v>
      </c>
      <c r="AC20" s="113">
        <f t="shared" si="9"/>
        <v>0</v>
      </c>
      <c r="AD20" s="284"/>
      <c r="AE20" s="112">
        <v>30</v>
      </c>
      <c r="AF20" s="113">
        <f t="shared" si="14"/>
        <v>0</v>
      </c>
      <c r="AG20" s="113">
        <f t="shared" si="15"/>
        <v>0</v>
      </c>
      <c r="AH20" s="113">
        <f t="shared" si="16"/>
        <v>0</v>
      </c>
      <c r="AI20" s="114">
        <f>V20/12*1000</f>
        <v>12683.3</v>
      </c>
      <c r="AJ20" s="114"/>
      <c r="AK20" s="114">
        <f t="shared" si="11"/>
        <v>304.39999999999998</v>
      </c>
      <c r="AL20" s="114">
        <f t="shared" si="17"/>
        <v>172.9</v>
      </c>
      <c r="AM20" s="115">
        <v>0.30199999999999999</v>
      </c>
      <c r="AN20" s="130"/>
      <c r="AO20" s="130"/>
      <c r="AP20" s="130"/>
      <c r="AQ20" s="22"/>
      <c r="AS20" s="115"/>
    </row>
    <row r="21" spans="1:45" s="98" customFormat="1" ht="20.25" customHeight="1" x14ac:dyDescent="0.25">
      <c r="A21" s="1552" t="s">
        <v>8</v>
      </c>
      <c r="B21" s="1552"/>
      <c r="C21" s="97">
        <f t="shared" ref="C21:M21" si="20">SUM(C9:C20)</f>
        <v>15.5</v>
      </c>
      <c r="D21" s="97">
        <f t="shared" si="20"/>
        <v>119.5</v>
      </c>
      <c r="E21" s="97">
        <f t="shared" si="20"/>
        <v>148.69999999999999</v>
      </c>
      <c r="F21" s="97">
        <f t="shared" si="20"/>
        <v>1783.7</v>
      </c>
      <c r="G21" s="97">
        <f t="shared" si="20"/>
        <v>78.7</v>
      </c>
      <c r="H21" s="97">
        <f t="shared" si="20"/>
        <v>26.4</v>
      </c>
      <c r="I21" s="97">
        <f t="shared" si="20"/>
        <v>0</v>
      </c>
      <c r="J21" s="97">
        <f t="shared" si="20"/>
        <v>0</v>
      </c>
      <c r="K21" s="97">
        <f t="shared" si="20"/>
        <v>316.39999999999998</v>
      </c>
      <c r="L21" s="97">
        <f t="shared" si="20"/>
        <v>68.599999999999994</v>
      </c>
      <c r="M21" s="97">
        <f t="shared" si="20"/>
        <v>2273.8000000000002</v>
      </c>
      <c r="N21" s="97"/>
      <c r="O21" s="97">
        <f t="shared" ref="O21:AH21" si="21">SUM(O9:O20)</f>
        <v>1033.7</v>
      </c>
      <c r="P21" s="97">
        <f t="shared" si="21"/>
        <v>3307.5</v>
      </c>
      <c r="Q21" s="97">
        <f t="shared" si="21"/>
        <v>2646</v>
      </c>
      <c r="R21" s="97">
        <f t="shared" si="21"/>
        <v>2646</v>
      </c>
      <c r="S21" s="97">
        <f t="shared" si="21"/>
        <v>275.2</v>
      </c>
      <c r="T21" s="97">
        <f t="shared" si="21"/>
        <v>8874.7000000000007</v>
      </c>
      <c r="U21" s="97">
        <f t="shared" si="21"/>
        <v>1</v>
      </c>
      <c r="V21" s="97">
        <f t="shared" si="21"/>
        <v>8874.7000000000007</v>
      </c>
      <c r="W21" s="97">
        <f t="shared" si="21"/>
        <v>2635.8</v>
      </c>
      <c r="X21" s="97">
        <f t="shared" si="21"/>
        <v>6</v>
      </c>
      <c r="Y21" s="97">
        <f t="shared" si="21"/>
        <v>360</v>
      </c>
      <c r="Z21" s="97">
        <f t="shared" si="21"/>
        <v>180</v>
      </c>
      <c r="AA21" s="97">
        <f t="shared" si="21"/>
        <v>1</v>
      </c>
      <c r="AB21" s="97">
        <f t="shared" si="21"/>
        <v>180</v>
      </c>
      <c r="AC21" s="97">
        <f t="shared" si="21"/>
        <v>15</v>
      </c>
      <c r="AD21" s="97">
        <f t="shared" si="21"/>
        <v>0</v>
      </c>
      <c r="AE21" s="97">
        <f t="shared" si="21"/>
        <v>360</v>
      </c>
      <c r="AF21" s="97">
        <f t="shared" si="21"/>
        <v>0</v>
      </c>
      <c r="AG21" s="97">
        <f t="shared" si="21"/>
        <v>58.5</v>
      </c>
      <c r="AH21" s="97">
        <f t="shared" si="21"/>
        <v>253.5</v>
      </c>
      <c r="AN21" s="130"/>
      <c r="AO21" s="130"/>
      <c r="AP21" s="130"/>
      <c r="AQ21" s="22"/>
    </row>
    <row r="22" spans="1:45" x14ac:dyDescent="0.25">
      <c r="G22" s="131"/>
      <c r="H22" s="131"/>
      <c r="I22" s="131"/>
      <c r="J22" s="131"/>
      <c r="K22" s="131"/>
      <c r="L22" s="131"/>
      <c r="M22" s="131"/>
      <c r="N22" s="131"/>
      <c r="O22" s="131"/>
      <c r="P22" s="131"/>
      <c r="Q22" s="131"/>
      <c r="R22" s="131"/>
      <c r="S22" s="131"/>
      <c r="T22" s="131"/>
      <c r="V22" s="114"/>
      <c r="W22" s="66"/>
      <c r="X22" s="132"/>
      <c r="Y22" s="132"/>
      <c r="Z22" s="132"/>
      <c r="AA22" s="131"/>
      <c r="AD22" s="131"/>
      <c r="AG22" s="131"/>
      <c r="AH22" s="131"/>
      <c r="AN22" s="130"/>
      <c r="AO22" s="130"/>
      <c r="AP22" s="130"/>
    </row>
    <row r="23" spans="1:45" x14ac:dyDescent="0.25">
      <c r="G23" s="131"/>
      <c r="H23" s="131"/>
      <c r="I23" s="131"/>
      <c r="J23" s="131"/>
      <c r="K23" s="131"/>
      <c r="L23" s="131"/>
      <c r="M23" s="131"/>
      <c r="N23" s="131"/>
      <c r="O23" s="131"/>
      <c r="P23" s="131"/>
      <c r="Q23" s="131"/>
      <c r="R23" s="131"/>
      <c r="S23" s="131"/>
      <c r="T23" s="131"/>
      <c r="V23" s="114"/>
      <c r="W23" s="114"/>
      <c r="X23" s="133"/>
      <c r="Y23" s="133"/>
      <c r="Z23" s="133"/>
      <c r="AA23" s="131"/>
      <c r="AD23" s="131"/>
      <c r="AG23" s="131"/>
      <c r="AH23" s="131"/>
      <c r="AN23" s="130"/>
      <c r="AO23" s="130"/>
      <c r="AP23" s="130"/>
    </row>
    <row r="24" spans="1:45" s="62" customFormat="1" ht="13.8" x14ac:dyDescent="0.25">
      <c r="A24" s="68"/>
      <c r="B24" s="63"/>
      <c r="C24" s="26"/>
      <c r="D24" s="26"/>
      <c r="E24" s="26"/>
      <c r="F24" s="26"/>
      <c r="G24" s="26"/>
      <c r="H24" s="26"/>
      <c r="I24" s="26"/>
      <c r="J24" s="26"/>
      <c r="K24" s="26"/>
      <c r="L24" s="26"/>
      <c r="M24" s="26"/>
      <c r="N24" s="26"/>
      <c r="O24" s="26"/>
      <c r="P24" s="26"/>
      <c r="Q24" s="26"/>
      <c r="R24" s="26"/>
      <c r="S24" s="26"/>
      <c r="T24" s="26"/>
      <c r="U24" s="64"/>
      <c r="V24" s="69"/>
      <c r="W24" s="69"/>
      <c r="X24" s="65"/>
      <c r="Y24" s="65"/>
      <c r="Z24" s="65"/>
      <c r="AA24" s="65"/>
      <c r="AB24" s="65"/>
      <c r="AC24" s="65"/>
      <c r="AD24" s="65"/>
      <c r="AE24" s="65"/>
      <c r="AF24" s="65"/>
      <c r="AG24" s="65"/>
      <c r="AH24" s="65"/>
      <c r="AI24" s="67"/>
      <c r="AJ24" s="61"/>
      <c r="AK24" s="61"/>
      <c r="AL24" s="134"/>
      <c r="AM24" s="135"/>
    </row>
    <row r="25" spans="1:45" s="75" customFormat="1" ht="13.8" x14ac:dyDescent="0.25">
      <c r="A25" s="70"/>
      <c r="B25" s="70"/>
      <c r="C25" s="71"/>
      <c r="D25" s="72"/>
      <c r="E25" s="72"/>
      <c r="F25" s="72"/>
      <c r="G25" s="72"/>
      <c r="H25" s="73"/>
      <c r="I25" s="73"/>
      <c r="J25" s="27"/>
      <c r="K25" s="27"/>
      <c r="L25" s="27"/>
      <c r="M25" s="27"/>
      <c r="N25" s="74"/>
      <c r="O25" s="27"/>
      <c r="P25" s="27"/>
      <c r="Q25" s="27"/>
      <c r="R25" s="27"/>
      <c r="S25" s="27"/>
      <c r="T25" s="27"/>
      <c r="U25" s="27"/>
      <c r="V25" s="27"/>
      <c r="W25" s="27"/>
      <c r="X25" s="27"/>
      <c r="Y25" s="27"/>
      <c r="Z25" s="27"/>
      <c r="AA25" s="27"/>
      <c r="AB25" s="27"/>
      <c r="AC25" s="27"/>
      <c r="AD25" s="27"/>
      <c r="AE25" s="27"/>
      <c r="AF25" s="27"/>
      <c r="AG25" s="27"/>
      <c r="AH25" s="27"/>
      <c r="AI25" s="27"/>
      <c r="AJ25" s="76"/>
      <c r="AN25" s="76"/>
      <c r="AO25" s="76"/>
      <c r="AP25" s="76"/>
      <c r="AQ25" s="76"/>
      <c r="AR25" s="76"/>
    </row>
    <row r="26" spans="1:45" s="75" customFormat="1" ht="55.5" customHeight="1" x14ac:dyDescent="0.25">
      <c r="A26" s="70"/>
      <c r="B26" s="70"/>
      <c r="C26" s="71"/>
      <c r="D26" s="77"/>
      <c r="E26" s="77"/>
      <c r="F26" s="27"/>
      <c r="G26" s="1545" t="s">
        <v>140</v>
      </c>
      <c r="H26" s="1545"/>
      <c r="I26" s="1545" t="s">
        <v>141</v>
      </c>
      <c r="J26" s="1545"/>
      <c r="K26" s="1545" t="s">
        <v>128</v>
      </c>
      <c r="L26" s="1545"/>
      <c r="Q26" s="27"/>
      <c r="R26" s="27"/>
      <c r="S26" s="27"/>
      <c r="T26" s="27"/>
      <c r="U26" s="27"/>
      <c r="V26" s="27"/>
      <c r="W26" s="27"/>
      <c r="X26" s="27"/>
      <c r="Y26" s="27"/>
      <c r="Z26" s="27"/>
      <c r="AA26" s="27"/>
      <c r="AB26" s="27"/>
      <c r="AC26" s="27"/>
      <c r="AD26" s="27"/>
      <c r="AE26" s="27"/>
      <c r="AF26" s="27"/>
      <c r="AG26" s="27"/>
      <c r="AH26" s="27"/>
      <c r="AI26" s="27"/>
      <c r="AJ26" s="76"/>
      <c r="AN26" s="76"/>
      <c r="AO26" s="76"/>
      <c r="AP26" s="76"/>
      <c r="AQ26" s="76"/>
      <c r="AR26" s="76"/>
    </row>
    <row r="27" spans="1:45" s="75" customFormat="1" ht="13.8" x14ac:dyDescent="0.25">
      <c r="A27" s="70"/>
      <c r="B27" s="70"/>
      <c r="C27" s="71"/>
      <c r="D27" s="77"/>
      <c r="E27" s="77"/>
      <c r="F27" s="27"/>
      <c r="G27" s="279">
        <v>991</v>
      </c>
      <c r="H27" s="279">
        <v>992</v>
      </c>
      <c r="I27" s="279">
        <v>991</v>
      </c>
      <c r="J27" s="279">
        <v>992</v>
      </c>
      <c r="K27" s="279">
        <v>991</v>
      </c>
      <c r="L27" s="279">
        <v>992</v>
      </c>
      <c r="Q27" s="27"/>
      <c r="R27" s="27"/>
      <c r="S27" s="27"/>
      <c r="T27" s="27"/>
      <c r="U27" s="27"/>
      <c r="V27" s="27"/>
      <c r="W27" s="27"/>
      <c r="X27" s="27"/>
      <c r="Y27" s="27"/>
      <c r="Z27" s="27"/>
      <c r="AA27" s="27"/>
      <c r="AB27" s="27"/>
      <c r="AC27" s="27"/>
      <c r="AD27" s="27"/>
      <c r="AE27" s="27"/>
      <c r="AF27" s="27"/>
      <c r="AG27" s="27"/>
      <c r="AH27" s="27"/>
      <c r="AI27" s="27"/>
      <c r="AJ27" s="76"/>
      <c r="AN27" s="76"/>
      <c r="AO27" s="76"/>
      <c r="AP27" s="76"/>
      <c r="AQ27" s="76"/>
      <c r="AR27" s="76"/>
    </row>
    <row r="28" spans="1:45" s="75" customFormat="1" ht="13.8" x14ac:dyDescent="0.25">
      <c r="A28" s="70"/>
      <c r="B28" s="70"/>
      <c r="C28" s="71"/>
      <c r="D28" s="77"/>
      <c r="E28" s="77"/>
      <c r="F28" s="27"/>
      <c r="G28" s="29">
        <v>8874.7000000000007</v>
      </c>
      <c r="H28" s="29">
        <v>2640.7</v>
      </c>
      <c r="I28" s="29">
        <f>V21</f>
        <v>8874.7000000000007</v>
      </c>
      <c r="J28" s="29">
        <f>W21</f>
        <v>2635.8</v>
      </c>
      <c r="K28" s="29">
        <f>G28-I28</f>
        <v>0</v>
      </c>
      <c r="L28" s="29">
        <f>H28-J28</f>
        <v>4.9000000000000004</v>
      </c>
      <c r="Q28" s="27"/>
      <c r="R28" s="27"/>
      <c r="S28" s="27"/>
      <c r="T28" s="27"/>
      <c r="U28" s="27"/>
      <c r="V28" s="27"/>
      <c r="W28" s="27"/>
      <c r="X28" s="27"/>
      <c r="Y28" s="27"/>
      <c r="Z28" s="27"/>
      <c r="AA28" s="27"/>
      <c r="AB28" s="27"/>
      <c r="AC28" s="27"/>
      <c r="AD28" s="27"/>
      <c r="AE28" s="27"/>
      <c r="AF28" s="27"/>
      <c r="AG28" s="27"/>
      <c r="AH28" s="27"/>
      <c r="AI28" s="27"/>
      <c r="AJ28" s="76"/>
      <c r="AN28" s="76"/>
      <c r="AO28" s="76"/>
      <c r="AP28" s="76"/>
      <c r="AQ28" s="76"/>
      <c r="AR28" s="76"/>
    </row>
    <row r="29" spans="1:45" s="143" customFormat="1" ht="13.8" x14ac:dyDescent="0.25">
      <c r="A29" s="136"/>
      <c r="B29" s="136"/>
      <c r="C29" s="137"/>
      <c r="D29" s="138"/>
      <c r="E29" s="138"/>
      <c r="F29" s="138"/>
      <c r="G29" s="138"/>
      <c r="H29" s="139"/>
      <c r="I29" s="139"/>
      <c r="J29" s="140"/>
      <c r="K29" s="140"/>
      <c r="L29" s="140"/>
      <c r="M29" s="140"/>
      <c r="N29" s="141"/>
      <c r="O29" s="140"/>
      <c r="P29" s="140"/>
      <c r="Q29" s="140"/>
      <c r="R29" s="140"/>
      <c r="S29" s="140"/>
      <c r="T29" s="140"/>
      <c r="U29" s="140"/>
      <c r="V29" s="140"/>
      <c r="W29" s="140"/>
      <c r="X29" s="140"/>
      <c r="Y29" s="140"/>
      <c r="Z29" s="140"/>
      <c r="AA29" s="140"/>
      <c r="AB29" s="140"/>
      <c r="AC29" s="140"/>
      <c r="AD29" s="140"/>
      <c r="AE29" s="140"/>
      <c r="AF29" s="140"/>
      <c r="AG29" s="140"/>
      <c r="AH29" s="140"/>
      <c r="AI29" s="142"/>
      <c r="AN29" s="22"/>
      <c r="AO29" s="22"/>
      <c r="AP29" s="22"/>
      <c r="AQ29" s="22"/>
    </row>
    <row r="30" spans="1:45" s="143" customFormat="1" ht="13.8" x14ac:dyDescent="0.25">
      <c r="A30" s="136"/>
      <c r="B30" s="136"/>
      <c r="C30" s="137"/>
      <c r="D30" s="138"/>
      <c r="E30" s="138"/>
      <c r="F30" s="138"/>
      <c r="G30" s="138"/>
      <c r="H30" s="139"/>
      <c r="I30" s="139"/>
      <c r="J30" s="140"/>
      <c r="K30" s="140"/>
      <c r="L30" s="140"/>
      <c r="M30" s="140"/>
      <c r="N30" s="141"/>
      <c r="O30" s="140"/>
      <c r="P30" s="140"/>
      <c r="Q30" s="140"/>
      <c r="R30" s="140"/>
      <c r="S30" s="140"/>
      <c r="T30" s="140"/>
      <c r="U30" s="140"/>
      <c r="V30" s="140"/>
      <c r="W30" s="140"/>
      <c r="X30" s="140"/>
      <c r="Y30" s="140"/>
      <c r="Z30" s="140"/>
      <c r="AA30" s="140"/>
      <c r="AB30" s="140"/>
      <c r="AC30" s="140"/>
      <c r="AD30" s="140"/>
      <c r="AE30" s="140"/>
      <c r="AF30" s="140"/>
      <c r="AG30" s="140"/>
      <c r="AH30" s="140"/>
      <c r="AI30" s="142"/>
      <c r="AN30" s="22"/>
      <c r="AO30" s="22"/>
      <c r="AP30" s="22"/>
      <c r="AQ30" s="22"/>
    </row>
    <row r="31" spans="1:45" s="143" customFormat="1" ht="13.8" x14ac:dyDescent="0.25">
      <c r="A31" s="136"/>
      <c r="B31" s="136"/>
      <c r="C31" s="137"/>
      <c r="D31" s="144"/>
      <c r="E31" s="144"/>
      <c r="F31" s="140"/>
      <c r="G31" s="140"/>
      <c r="H31" s="139"/>
      <c r="I31" s="139"/>
      <c r="J31" s="140"/>
      <c r="K31" s="140"/>
      <c r="L31" s="140"/>
      <c r="M31" s="140"/>
      <c r="N31" s="141"/>
      <c r="O31" s="140"/>
      <c r="P31" s="140"/>
      <c r="Q31" s="140"/>
      <c r="R31" s="140"/>
      <c r="S31" s="140"/>
      <c r="T31" s="140"/>
      <c r="U31" s="140"/>
      <c r="V31" s="140"/>
      <c r="W31" s="140"/>
      <c r="X31" s="140"/>
      <c r="Y31" s="140"/>
      <c r="Z31" s="140"/>
      <c r="AA31" s="140"/>
      <c r="AB31" s="140"/>
      <c r="AC31" s="140"/>
      <c r="AD31" s="140"/>
      <c r="AE31" s="140"/>
      <c r="AF31" s="140"/>
      <c r="AG31" s="140"/>
      <c r="AH31" s="140"/>
      <c r="AI31" s="142"/>
      <c r="AN31" s="22"/>
      <c r="AO31" s="22"/>
      <c r="AP31" s="22"/>
      <c r="AQ31" s="22"/>
    </row>
    <row r="32" spans="1:45" s="282" customFormat="1" ht="21" x14ac:dyDescent="0.25">
      <c r="A32" s="81"/>
      <c r="B32" s="82" t="s">
        <v>138</v>
      </c>
      <c r="C32" s="83"/>
      <c r="D32" s="84"/>
      <c r="E32" s="84"/>
      <c r="F32" s="85"/>
      <c r="G32" s="85"/>
      <c r="H32" s="86"/>
      <c r="I32" s="86"/>
      <c r="J32" s="85"/>
      <c r="K32" s="30" t="s">
        <v>166</v>
      </c>
      <c r="L32" s="85"/>
      <c r="M32" s="85"/>
      <c r="N32" s="87"/>
      <c r="O32" s="85"/>
      <c r="P32" s="85"/>
      <c r="Q32" s="85"/>
      <c r="R32" s="85"/>
      <c r="S32" s="85"/>
      <c r="T32" s="85"/>
      <c r="U32" s="85"/>
      <c r="V32" s="85"/>
      <c r="W32" s="85"/>
      <c r="X32" s="85"/>
      <c r="Y32" s="85"/>
      <c r="Z32" s="85"/>
      <c r="AA32" s="85"/>
      <c r="AB32" s="85"/>
      <c r="AC32" s="85"/>
      <c r="AD32" s="85"/>
      <c r="AE32" s="85"/>
      <c r="AF32" s="85"/>
      <c r="AG32" s="85"/>
      <c r="AH32" s="85"/>
      <c r="AI32" s="85"/>
      <c r="AK32" s="88"/>
      <c r="AL32" s="88"/>
      <c r="AM32" s="88"/>
      <c r="AN32" s="88"/>
      <c r="AO32" s="88"/>
    </row>
    <row r="33" spans="1:43" s="143" customFormat="1" ht="13.8" x14ac:dyDescent="0.25">
      <c r="A33" s="136"/>
      <c r="B33" s="136"/>
      <c r="C33" s="137"/>
      <c r="D33" s="144"/>
      <c r="E33" s="144"/>
      <c r="F33" s="140"/>
      <c r="G33" s="140"/>
      <c r="H33" s="139"/>
      <c r="I33" s="139"/>
      <c r="J33" s="140"/>
      <c r="K33" s="140"/>
      <c r="L33" s="140"/>
      <c r="M33" s="140"/>
      <c r="N33" s="141"/>
      <c r="O33" s="140"/>
      <c r="P33" s="140"/>
      <c r="Q33" s="140"/>
      <c r="R33" s="140"/>
      <c r="S33" s="140"/>
      <c r="T33" s="140"/>
      <c r="U33" s="140"/>
      <c r="V33" s="140"/>
      <c r="W33" s="140"/>
      <c r="X33" s="140"/>
      <c r="Y33" s="140"/>
      <c r="Z33" s="140"/>
      <c r="AA33" s="140"/>
      <c r="AB33" s="140"/>
      <c r="AC33" s="140"/>
      <c r="AD33" s="140"/>
      <c r="AE33" s="140"/>
      <c r="AF33" s="140"/>
      <c r="AG33" s="140"/>
      <c r="AH33" s="140"/>
      <c r="AI33" s="142"/>
      <c r="AN33" s="22"/>
      <c r="AO33" s="22"/>
      <c r="AP33" s="22"/>
      <c r="AQ33" s="22"/>
    </row>
    <row r="34" spans="1:43" s="143" customFormat="1" ht="20.25" customHeight="1" x14ac:dyDescent="0.25">
      <c r="A34" s="145" t="s">
        <v>96</v>
      </c>
      <c r="B34" s="145"/>
      <c r="C34" s="146"/>
      <c r="D34" s="146"/>
      <c r="E34" s="146"/>
      <c r="F34" s="146"/>
      <c r="G34" s="146"/>
      <c r="H34" s="146"/>
      <c r="I34" s="146"/>
      <c r="J34" s="146"/>
      <c r="K34" s="146"/>
      <c r="L34" s="147"/>
      <c r="M34" s="147"/>
      <c r="N34" s="148"/>
      <c r="O34" s="147"/>
      <c r="P34" s="147"/>
      <c r="Q34" s="147"/>
      <c r="R34" s="147"/>
      <c r="S34" s="147"/>
      <c r="T34" s="147"/>
      <c r="U34" s="147"/>
      <c r="V34" s="147"/>
      <c r="W34" s="147"/>
      <c r="X34" s="147"/>
      <c r="Y34" s="147"/>
      <c r="Z34" s="147"/>
      <c r="AA34" s="147"/>
      <c r="AB34" s="147"/>
      <c r="AC34" s="147"/>
      <c r="AD34" s="147"/>
      <c r="AE34" s="147"/>
      <c r="AF34" s="147"/>
      <c r="AG34" s="147"/>
      <c r="AH34" s="147"/>
      <c r="AI34" s="142"/>
      <c r="AN34" s="62"/>
      <c r="AO34" s="62"/>
      <c r="AP34" s="62"/>
      <c r="AQ34" s="60"/>
    </row>
    <row r="35" spans="1:43" s="143" customFormat="1" ht="20.25" customHeight="1" x14ac:dyDescent="0.25">
      <c r="A35" s="145" t="s">
        <v>139</v>
      </c>
      <c r="B35" s="149"/>
      <c r="C35" s="150"/>
      <c r="D35" s="150"/>
      <c r="E35" s="151"/>
      <c r="F35" s="151"/>
      <c r="G35" s="151"/>
      <c r="H35" s="151"/>
      <c r="I35" s="151"/>
      <c r="J35" s="151"/>
      <c r="K35" s="151"/>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2"/>
      <c r="AN35" s="62"/>
      <c r="AO35" s="62"/>
      <c r="AP35" s="62"/>
      <c r="AQ35" s="62"/>
    </row>
    <row r="36" spans="1:43" ht="16.8" x14ac:dyDescent="0.25">
      <c r="A36" s="152"/>
      <c r="I36" s="153"/>
      <c r="L36" s="99"/>
      <c r="M36" s="99"/>
      <c r="N36" s="99"/>
      <c r="O36" s="99"/>
      <c r="P36" s="99"/>
      <c r="Q36" s="99"/>
      <c r="W36" s="131"/>
      <c r="X36" s="131"/>
      <c r="AA36" s="131"/>
      <c r="AD36" s="131"/>
      <c r="AG36" s="131"/>
      <c r="AH36" s="131"/>
      <c r="AN36" s="62"/>
      <c r="AO36" s="62"/>
      <c r="AP36" s="62"/>
      <c r="AQ36" s="62"/>
    </row>
    <row r="37" spans="1:43" ht="16.8" x14ac:dyDescent="0.25">
      <c r="A37" s="152"/>
      <c r="E37" s="115"/>
      <c r="L37" s="99"/>
      <c r="M37" s="99"/>
      <c r="N37" s="99"/>
      <c r="O37" s="99"/>
      <c r="P37" s="99"/>
      <c r="Q37" s="99"/>
      <c r="W37" s="131"/>
      <c r="X37" s="131"/>
      <c r="AA37" s="131"/>
      <c r="AD37" s="131"/>
      <c r="AG37" s="131"/>
      <c r="AH37" s="131"/>
      <c r="AN37" s="62"/>
      <c r="AO37" s="62"/>
      <c r="AP37" s="62"/>
      <c r="AQ37" s="62"/>
    </row>
    <row r="38" spans="1:43" x14ac:dyDescent="0.25">
      <c r="E38" s="115"/>
    </row>
    <row r="39" spans="1:43" x14ac:dyDescent="0.25">
      <c r="E39" s="115"/>
    </row>
    <row r="40" spans="1:43" x14ac:dyDescent="0.25">
      <c r="E40" s="115"/>
    </row>
    <row r="41" spans="1:43" x14ac:dyDescent="0.25">
      <c r="E41" s="115"/>
    </row>
    <row r="42" spans="1:43" x14ac:dyDescent="0.25">
      <c r="E42" s="115"/>
    </row>
    <row r="43" spans="1:43" x14ac:dyDescent="0.25">
      <c r="E43" s="115"/>
    </row>
  </sheetData>
  <autoFilter ref="A8:AS8"/>
  <mergeCells count="37">
    <mergeCell ref="G26:H26"/>
    <mergeCell ref="I26:J26"/>
    <mergeCell ref="K26:L26"/>
    <mergeCell ref="AA6:AC6"/>
    <mergeCell ref="J6:J7"/>
    <mergeCell ref="K6:K7"/>
    <mergeCell ref="AH6:AH7"/>
    <mergeCell ref="U9:U20"/>
    <mergeCell ref="A21:B21"/>
    <mergeCell ref="S6:S7"/>
    <mergeCell ref="T6:T7"/>
    <mergeCell ref="U6:U7"/>
    <mergeCell ref="V6:V7"/>
    <mergeCell ref="W6:W7"/>
    <mergeCell ref="X6:Z6"/>
    <mergeCell ref="L6:L7"/>
    <mergeCell ref="F6:F7"/>
    <mergeCell ref="G6:G7"/>
    <mergeCell ref="H6:H7"/>
    <mergeCell ref="I6:I7"/>
    <mergeCell ref="R6:R7"/>
    <mergeCell ref="AE1:AH1"/>
    <mergeCell ref="A2:AH2"/>
    <mergeCell ref="A3:AH3"/>
    <mergeCell ref="A5:A7"/>
    <mergeCell ref="B5:B7"/>
    <mergeCell ref="C5:C7"/>
    <mergeCell ref="D5:W5"/>
    <mergeCell ref="X5:AH5"/>
    <mergeCell ref="D6:D7"/>
    <mergeCell ref="E6:E7"/>
    <mergeCell ref="AG6:AG7"/>
    <mergeCell ref="M6:M7"/>
    <mergeCell ref="N6:O6"/>
    <mergeCell ref="P6:P7"/>
    <mergeCell ref="Q6:Q7"/>
    <mergeCell ref="AD6:AF6"/>
  </mergeCells>
  <printOptions horizontalCentered="1"/>
  <pageMargins left="0" right="0" top="0" bottom="0" header="0.31496062992125984" footer="0.31496062992125984"/>
  <pageSetup paperSize="9" scale="38"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S57"/>
  <sheetViews>
    <sheetView view="pageBreakPreview" zoomScale="80" zoomScaleNormal="80" zoomScaleSheetLayoutView="80" workbookViewId="0">
      <pane xSplit="3" ySplit="8" topLeftCell="V9" activePane="bottomRight" state="frozen"/>
      <selection activeCell="M26" sqref="M26"/>
      <selection pane="topRight" activeCell="M26" sqref="M26"/>
      <selection pane="bottomLeft" activeCell="M26" sqref="M26"/>
      <selection pane="bottomRight" activeCell="M26" sqref="M26:N26"/>
    </sheetView>
  </sheetViews>
  <sheetFormatPr defaultColWidth="9.33203125" defaultRowHeight="13.2" x14ac:dyDescent="0.25"/>
  <cols>
    <col min="1" max="1" width="6.77734375" style="33" customWidth="1"/>
    <col min="2" max="2" width="30.77734375" style="22" customWidth="1"/>
    <col min="3" max="3" width="13.77734375" style="22" customWidth="1"/>
    <col min="4" max="4" width="12.77734375" style="22" customWidth="1"/>
    <col min="5" max="5" width="13" style="22" customWidth="1"/>
    <col min="6" max="6" width="14.6640625" style="22" customWidth="1"/>
    <col min="7" max="7" width="12.33203125" style="22" customWidth="1"/>
    <col min="8" max="8" width="13.33203125" style="22" customWidth="1"/>
    <col min="9" max="9" width="15.77734375" style="22" customWidth="1"/>
    <col min="10" max="11" width="13.77734375" style="22" customWidth="1"/>
    <col min="12" max="12" width="13.33203125" style="22" customWidth="1"/>
    <col min="13" max="13" width="12.77734375" style="22" customWidth="1"/>
    <col min="14" max="14" width="11.44140625" style="22" customWidth="1"/>
    <col min="15" max="15" width="14.77734375" style="22" customWidth="1"/>
    <col min="16" max="16" width="15.33203125" style="22" customWidth="1"/>
    <col min="17" max="17" width="14.77734375" style="22" customWidth="1"/>
    <col min="18" max="18" width="13.6640625" style="22" customWidth="1"/>
    <col min="19" max="19" width="15.33203125" style="22" customWidth="1"/>
    <col min="20" max="20" width="12.33203125" style="22" customWidth="1"/>
    <col min="21" max="21" width="11.6640625" style="22" customWidth="1"/>
    <col min="22" max="22" width="13" style="22" customWidth="1"/>
    <col min="23" max="23" width="12.6640625" style="22" customWidth="1"/>
    <col min="24" max="24" width="13.33203125" style="22" customWidth="1"/>
    <col min="25" max="25" width="12.77734375" style="22" customWidth="1"/>
    <col min="26" max="26" width="13" style="22" customWidth="1"/>
    <col min="27" max="27" width="12.33203125" style="22" customWidth="1"/>
    <col min="28" max="28" width="11.33203125" style="22" customWidth="1"/>
    <col min="29" max="29" width="9.6640625" style="22" customWidth="1"/>
    <col min="30" max="30" width="11" style="22" customWidth="1"/>
    <col min="31" max="31" width="9.33203125" style="22" customWidth="1"/>
    <col min="32" max="32" width="9.77734375" style="22" customWidth="1"/>
    <col min="33" max="33" width="14" style="22" customWidth="1"/>
    <col min="34" max="34" width="12.33203125" style="22" customWidth="1"/>
    <col min="35" max="35" width="11.109375" style="34" customWidth="1"/>
    <col min="36" max="36" width="9.33203125" style="22"/>
    <col min="37" max="37" width="12.6640625" style="22" customWidth="1"/>
    <col min="38" max="38" width="11.6640625" style="22" hidden="1" customWidth="1"/>
    <col min="39" max="39" width="13.6640625" style="22" hidden="1" customWidth="1"/>
    <col min="40" max="42" width="9.33203125" style="22"/>
    <col min="43" max="43" width="14" style="22" bestFit="1" customWidth="1"/>
    <col min="44" max="16384" width="9.33203125" style="22"/>
  </cols>
  <sheetData>
    <row r="1" spans="1:45" ht="12.75" customHeight="1" x14ac:dyDescent="0.25">
      <c r="AE1" s="1546"/>
      <c r="AF1" s="1546"/>
      <c r="AG1" s="1546"/>
      <c r="AH1" s="1546"/>
    </row>
    <row r="2" spans="1:45" ht="24" customHeight="1" x14ac:dyDescent="0.25">
      <c r="A2" s="1535" t="s">
        <v>157</v>
      </c>
      <c r="B2" s="1535"/>
      <c r="C2" s="1535"/>
      <c r="D2" s="1535"/>
      <c r="E2" s="1535"/>
      <c r="F2" s="1535"/>
      <c r="G2" s="1535"/>
      <c r="H2" s="1535"/>
      <c r="I2" s="1535"/>
      <c r="J2" s="1535"/>
      <c r="K2" s="1535"/>
      <c r="L2" s="1535"/>
      <c r="M2" s="1535"/>
      <c r="N2" s="1535"/>
      <c r="O2" s="1535"/>
      <c r="P2" s="1535"/>
      <c r="Q2" s="1535"/>
      <c r="R2" s="1535"/>
      <c r="S2" s="1535"/>
      <c r="T2" s="1535"/>
      <c r="U2" s="1535"/>
      <c r="V2" s="1535"/>
      <c r="W2" s="1535"/>
      <c r="X2" s="1535"/>
      <c r="Y2" s="1535"/>
      <c r="Z2" s="1535"/>
      <c r="AA2" s="1535"/>
      <c r="AB2" s="1535"/>
      <c r="AC2" s="1535"/>
      <c r="AD2" s="1535"/>
      <c r="AE2" s="1535"/>
      <c r="AF2" s="1535"/>
      <c r="AG2" s="1535"/>
      <c r="AH2" s="1535"/>
      <c r="AI2" s="36"/>
    </row>
    <row r="3" spans="1:45" ht="24.75" customHeight="1" x14ac:dyDescent="0.25">
      <c r="A3" s="1536"/>
      <c r="B3" s="1536"/>
      <c r="C3" s="1536"/>
      <c r="D3" s="1536"/>
      <c r="E3" s="1536"/>
      <c r="F3" s="1536"/>
      <c r="G3" s="1536"/>
      <c r="H3" s="1536"/>
      <c r="I3" s="1536"/>
      <c r="J3" s="1536"/>
      <c r="K3" s="1536"/>
      <c r="L3" s="1536"/>
      <c r="M3" s="1536"/>
      <c r="N3" s="1536"/>
      <c r="O3" s="1536"/>
      <c r="P3" s="1536"/>
      <c r="Q3" s="1536"/>
      <c r="R3" s="1536"/>
      <c r="S3" s="1536"/>
      <c r="T3" s="1536"/>
      <c r="U3" s="1536"/>
      <c r="V3" s="1536"/>
      <c r="W3" s="1536"/>
      <c r="X3" s="1536"/>
      <c r="Y3" s="1536"/>
      <c r="Z3" s="1536"/>
      <c r="AA3" s="1536"/>
      <c r="AB3" s="1536"/>
      <c r="AC3" s="1536"/>
      <c r="AD3" s="1536"/>
      <c r="AE3" s="1536"/>
      <c r="AF3" s="1536"/>
      <c r="AG3" s="1536"/>
      <c r="AH3" s="1536"/>
      <c r="AI3" s="283"/>
    </row>
    <row r="4" spans="1:45" x14ac:dyDescent="0.25">
      <c r="L4" s="38">
        <v>0.34311000000000003</v>
      </c>
    </row>
    <row r="5" spans="1:45" ht="38.25" customHeight="1" x14ac:dyDescent="0.25">
      <c r="A5" s="1549" t="s">
        <v>78</v>
      </c>
      <c r="B5" s="1549" t="s">
        <v>77</v>
      </c>
      <c r="C5" s="1538" t="s">
        <v>0</v>
      </c>
      <c r="D5" s="1538" t="s">
        <v>3</v>
      </c>
      <c r="E5" s="1538"/>
      <c r="F5" s="1538"/>
      <c r="G5" s="1538"/>
      <c r="H5" s="1538"/>
      <c r="I5" s="1538"/>
      <c r="J5" s="1538"/>
      <c r="K5" s="1538"/>
      <c r="L5" s="1538"/>
      <c r="M5" s="1538"/>
      <c r="N5" s="1538"/>
      <c r="O5" s="1538"/>
      <c r="P5" s="1538"/>
      <c r="Q5" s="1538"/>
      <c r="R5" s="1538"/>
      <c r="S5" s="1538"/>
      <c r="T5" s="1538"/>
      <c r="U5" s="1538"/>
      <c r="V5" s="1538"/>
      <c r="W5" s="1538"/>
      <c r="X5" s="1538" t="s">
        <v>4</v>
      </c>
      <c r="Y5" s="1538"/>
      <c r="Z5" s="1538"/>
      <c r="AA5" s="1538"/>
      <c r="AB5" s="1538"/>
      <c r="AC5" s="1538"/>
      <c r="AD5" s="1538"/>
      <c r="AE5" s="1538"/>
      <c r="AF5" s="1538"/>
      <c r="AG5" s="1538"/>
      <c r="AH5" s="1538"/>
    </row>
    <row r="6" spans="1:45" ht="60" customHeight="1" x14ac:dyDescent="0.25">
      <c r="A6" s="1549"/>
      <c r="B6" s="1549"/>
      <c r="C6" s="1538"/>
      <c r="D6" s="1530" t="s">
        <v>68</v>
      </c>
      <c r="E6" s="1530" t="s">
        <v>69</v>
      </c>
      <c r="F6" s="1530" t="s">
        <v>89</v>
      </c>
      <c r="G6" s="1530" t="s">
        <v>1</v>
      </c>
      <c r="H6" s="1530" t="s">
        <v>2</v>
      </c>
      <c r="I6" s="1530" t="s">
        <v>70</v>
      </c>
      <c r="J6" s="1530" t="s">
        <v>61</v>
      </c>
      <c r="K6" s="1530" t="s">
        <v>27</v>
      </c>
      <c r="L6" s="1952" t="s">
        <v>65</v>
      </c>
      <c r="M6" s="1952" t="s">
        <v>86</v>
      </c>
      <c r="N6" s="1953" t="s">
        <v>91</v>
      </c>
      <c r="O6" s="1953"/>
      <c r="P6" s="1953" t="s">
        <v>88</v>
      </c>
      <c r="Q6" s="1952" t="s">
        <v>82</v>
      </c>
      <c r="R6" s="1530" t="s">
        <v>83</v>
      </c>
      <c r="S6" s="1952" t="s">
        <v>87</v>
      </c>
      <c r="T6" s="1530" t="s">
        <v>84</v>
      </c>
      <c r="U6" s="1530" t="s">
        <v>9</v>
      </c>
      <c r="V6" s="1530" t="s">
        <v>7</v>
      </c>
      <c r="W6" s="1530" t="s">
        <v>85</v>
      </c>
      <c r="X6" s="1538" t="s">
        <v>10</v>
      </c>
      <c r="Y6" s="1538"/>
      <c r="Z6" s="1538"/>
      <c r="AA6" s="1538" t="s">
        <v>11</v>
      </c>
      <c r="AB6" s="1538"/>
      <c r="AC6" s="1538"/>
      <c r="AD6" s="1538" t="s">
        <v>12</v>
      </c>
      <c r="AE6" s="1538"/>
      <c r="AF6" s="1538"/>
      <c r="AG6" s="1538" t="s">
        <v>13</v>
      </c>
      <c r="AH6" s="1538" t="s">
        <v>73</v>
      </c>
    </row>
    <row r="7" spans="1:45" ht="107.25" customHeight="1" x14ac:dyDescent="0.25">
      <c r="A7" s="1549"/>
      <c r="B7" s="1549"/>
      <c r="C7" s="1538"/>
      <c r="D7" s="1530"/>
      <c r="E7" s="1530"/>
      <c r="F7" s="1530"/>
      <c r="G7" s="1530"/>
      <c r="H7" s="1530"/>
      <c r="I7" s="1530"/>
      <c r="J7" s="1530"/>
      <c r="K7" s="1530"/>
      <c r="L7" s="1952" t="s">
        <v>66</v>
      </c>
      <c r="M7" s="1952"/>
      <c r="N7" s="288" t="s">
        <v>80</v>
      </c>
      <c r="O7" s="288" t="s">
        <v>81</v>
      </c>
      <c r="P7" s="1953"/>
      <c r="Q7" s="1952"/>
      <c r="R7" s="1530"/>
      <c r="S7" s="1952" t="s">
        <v>67</v>
      </c>
      <c r="T7" s="1530"/>
      <c r="U7" s="1530"/>
      <c r="V7" s="1530"/>
      <c r="W7" s="1530"/>
      <c r="X7" s="280" t="s">
        <v>5</v>
      </c>
      <c r="Y7" s="280" t="s">
        <v>6</v>
      </c>
      <c r="Z7" s="280" t="s">
        <v>74</v>
      </c>
      <c r="AA7" s="280" t="s">
        <v>5</v>
      </c>
      <c r="AB7" s="280" t="s">
        <v>6</v>
      </c>
      <c r="AC7" s="280" t="s">
        <v>75</v>
      </c>
      <c r="AD7" s="280" t="s">
        <v>5</v>
      </c>
      <c r="AE7" s="280" t="s">
        <v>6</v>
      </c>
      <c r="AF7" s="280" t="s">
        <v>76</v>
      </c>
      <c r="AG7" s="1538"/>
      <c r="AH7" s="1538"/>
      <c r="AK7" s="22" t="s">
        <v>64</v>
      </c>
      <c r="AL7" s="22" t="s">
        <v>62</v>
      </c>
      <c r="AM7" s="165" t="s">
        <v>71</v>
      </c>
    </row>
    <row r="8" spans="1:45" x14ac:dyDescent="0.25">
      <c r="A8" s="278">
        <v>1</v>
      </c>
      <c r="B8" s="278">
        <v>2</v>
      </c>
      <c r="C8" s="278">
        <v>3</v>
      </c>
      <c r="D8" s="278">
        <v>4</v>
      </c>
      <c r="E8" s="278">
        <v>5</v>
      </c>
      <c r="F8" s="278">
        <v>6</v>
      </c>
      <c r="G8" s="278">
        <v>7</v>
      </c>
      <c r="H8" s="278">
        <v>8</v>
      </c>
      <c r="I8" s="278">
        <v>9</v>
      </c>
      <c r="J8" s="278">
        <v>10</v>
      </c>
      <c r="K8" s="278">
        <v>11</v>
      </c>
      <c r="L8" s="278">
        <v>12</v>
      </c>
      <c r="M8" s="278">
        <v>13</v>
      </c>
      <c r="N8" s="278">
        <v>14</v>
      </c>
      <c r="O8" s="278">
        <v>15</v>
      </c>
      <c r="P8" s="278">
        <v>16</v>
      </c>
      <c r="Q8" s="278">
        <v>17</v>
      </c>
      <c r="R8" s="278">
        <v>18</v>
      </c>
      <c r="S8" s="278">
        <v>19</v>
      </c>
      <c r="T8" s="278">
        <v>20</v>
      </c>
      <c r="U8" s="278">
        <v>21</v>
      </c>
      <c r="V8" s="278">
        <v>22</v>
      </c>
      <c r="W8" s="278">
        <v>23</v>
      </c>
      <c r="X8" s="278">
        <v>24</v>
      </c>
      <c r="Y8" s="278">
        <v>25</v>
      </c>
      <c r="Z8" s="278">
        <v>26</v>
      </c>
      <c r="AA8" s="278">
        <v>27</v>
      </c>
      <c r="AB8" s="278">
        <v>28</v>
      </c>
      <c r="AC8" s="278">
        <v>29</v>
      </c>
      <c r="AD8" s="278">
        <v>30</v>
      </c>
      <c r="AE8" s="278">
        <v>31</v>
      </c>
      <c r="AF8" s="278">
        <v>32</v>
      </c>
      <c r="AG8" s="278">
        <v>33</v>
      </c>
      <c r="AH8" s="278">
        <v>34</v>
      </c>
      <c r="AN8" s="43" t="s">
        <v>116</v>
      </c>
      <c r="AO8" s="43" t="s">
        <v>117</v>
      </c>
      <c r="AP8" s="43" t="s">
        <v>118</v>
      </c>
      <c r="AQ8" s="43" t="s">
        <v>119</v>
      </c>
    </row>
    <row r="9" spans="1:45" ht="16.5" customHeight="1" x14ac:dyDescent="0.25">
      <c r="A9" s="278">
        <v>1</v>
      </c>
      <c r="B9" s="166" t="s">
        <v>14</v>
      </c>
      <c r="C9" s="167">
        <v>1</v>
      </c>
      <c r="D9" s="168">
        <v>22.876999999999999</v>
      </c>
      <c r="E9" s="169">
        <f>C9*D9</f>
        <v>22.88</v>
      </c>
      <c r="F9" s="170">
        <f>E9*12</f>
        <v>274.60000000000002</v>
      </c>
      <c r="G9" s="154"/>
      <c r="H9" s="154"/>
      <c r="I9" s="154"/>
      <c r="J9" s="154"/>
      <c r="K9" s="154">
        <f>F9*0.4</f>
        <v>109.8</v>
      </c>
      <c r="L9" s="154">
        <f>F9*$L$4</f>
        <v>94.2</v>
      </c>
      <c r="M9" s="154">
        <f>F9+G9+H9+I9+J9+K9+L9</f>
        <v>478.6</v>
      </c>
      <c r="N9" s="171">
        <v>0.47</v>
      </c>
      <c r="O9" s="154">
        <f>M9*N9</f>
        <v>224.9</v>
      </c>
      <c r="P9" s="154">
        <f>M9+O9</f>
        <v>703.5</v>
      </c>
      <c r="Q9" s="154">
        <f>P9*0.8</f>
        <v>562.79999999999995</v>
      </c>
      <c r="R9" s="154">
        <f>P9*0.8</f>
        <v>562.79999999999995</v>
      </c>
      <c r="S9" s="154">
        <f>(P9+Q9+R9)*0.032</f>
        <v>58.5</v>
      </c>
      <c r="T9" s="154">
        <f>P9+Q9+R9+S9</f>
        <v>1887.6</v>
      </c>
      <c r="U9" s="1954">
        <v>1</v>
      </c>
      <c r="V9" s="155">
        <f t="shared" ref="V9:V21" si="0">T9*$U$9</f>
        <v>1887.6</v>
      </c>
      <c r="W9" s="155">
        <f>AQ9</f>
        <v>451.9</v>
      </c>
      <c r="X9" s="278"/>
      <c r="Y9" s="24">
        <v>30</v>
      </c>
      <c r="Z9" s="48">
        <f t="shared" ref="Z9:Z22" si="1">X9*Y9</f>
        <v>0</v>
      </c>
      <c r="AA9" s="278"/>
      <c r="AB9" s="24">
        <v>15</v>
      </c>
      <c r="AC9" s="48">
        <f t="shared" ref="AC9:AC22" si="2">AA9*AB9</f>
        <v>0</v>
      </c>
      <c r="AD9" s="278"/>
      <c r="AE9" s="24">
        <v>30</v>
      </c>
      <c r="AF9" s="48">
        <f t="shared" ref="AF9:AF22" si="3">AD9*AE9</f>
        <v>0</v>
      </c>
      <c r="AG9" s="48">
        <f t="shared" ref="AG9:AG22" si="4">(Z9+AC9+AF9)*1%*30</f>
        <v>0</v>
      </c>
      <c r="AH9" s="48">
        <f t="shared" ref="AH9:AH22" si="5">Z9+AC9+AF9+AG9</f>
        <v>0</v>
      </c>
      <c r="AI9" s="34">
        <f t="shared" ref="AI9:AI22" si="6">V9/12/C9*1000</f>
        <v>157300</v>
      </c>
      <c r="AJ9" s="34"/>
      <c r="AK9" s="34">
        <f t="shared" ref="AK9:AK22" si="7">V9/C9</f>
        <v>1887.6</v>
      </c>
      <c r="AL9" s="34">
        <f>((979*0.302)+((AK9-979)*0.182))</f>
        <v>461</v>
      </c>
      <c r="AM9" s="51">
        <f>AL9/AK9</f>
        <v>0.24399999999999999</v>
      </c>
      <c r="AN9" s="116">
        <f>1150*0.22*C9+(V9-1150*C9)*0.1</f>
        <v>326.8</v>
      </c>
      <c r="AO9" s="116">
        <f>865*0.029*C9</f>
        <v>25.1</v>
      </c>
      <c r="AP9" s="116">
        <f>AK9*0.053</f>
        <v>100</v>
      </c>
      <c r="AQ9" s="116">
        <f>SUM(AN9:AP9)</f>
        <v>451.9</v>
      </c>
      <c r="AS9" s="51">
        <f t="shared" ref="AS9:AS22" si="8">D9*1.5</f>
        <v>34.316000000000003</v>
      </c>
    </row>
    <row r="10" spans="1:45" ht="13.8" x14ac:dyDescent="0.25">
      <c r="A10" s="278">
        <v>2</v>
      </c>
      <c r="B10" s="166" t="s">
        <v>125</v>
      </c>
      <c r="C10" s="167">
        <v>2</v>
      </c>
      <c r="D10" s="168">
        <v>16.013999999999999</v>
      </c>
      <c r="E10" s="169">
        <f>C10*D10</f>
        <v>32.03</v>
      </c>
      <c r="F10" s="170">
        <f t="shared" ref="F10:F22" si="9">E10*12</f>
        <v>384.4</v>
      </c>
      <c r="G10" s="154"/>
      <c r="H10" s="154"/>
      <c r="I10" s="154">
        <f>D10*0.25*12</f>
        <v>48</v>
      </c>
      <c r="J10" s="154"/>
      <c r="K10" s="154">
        <f>D10*0.25*12+D10*0.4*12+D10*0.05*4</f>
        <v>128.1</v>
      </c>
      <c r="L10" s="154">
        <f t="shared" ref="L10:L21" si="10">F10*$L$4</f>
        <v>131.9</v>
      </c>
      <c r="M10" s="154">
        <f t="shared" ref="M10:M22" si="11">F10+G10+H10+I10+J10+K10+L10</f>
        <v>692.4</v>
      </c>
      <c r="N10" s="171">
        <v>0.47</v>
      </c>
      <c r="O10" s="154">
        <f t="shared" ref="O10:O22" si="12">M10*N10</f>
        <v>325.39999999999998</v>
      </c>
      <c r="P10" s="154">
        <f t="shared" ref="P10:P22" si="13">M10+O10</f>
        <v>1017.8</v>
      </c>
      <c r="Q10" s="154">
        <f t="shared" ref="Q10:Q22" si="14">P10*0.8</f>
        <v>814.2</v>
      </c>
      <c r="R10" s="154">
        <f t="shared" ref="R10:R22" si="15">P10*0.8</f>
        <v>814.2</v>
      </c>
      <c r="S10" s="154">
        <f t="shared" ref="S10:S22" si="16">(P10+Q10+R10)*0.032</f>
        <v>84.7</v>
      </c>
      <c r="T10" s="154">
        <f t="shared" ref="T10:T22" si="17">P10+Q10+R10+S10</f>
        <v>2730.9</v>
      </c>
      <c r="U10" s="1955"/>
      <c r="V10" s="155">
        <f t="shared" si="0"/>
        <v>2730.9</v>
      </c>
      <c r="W10" s="155">
        <f>AQ10</f>
        <v>744</v>
      </c>
      <c r="X10" s="278"/>
      <c r="Y10" s="24">
        <v>30</v>
      </c>
      <c r="Z10" s="48">
        <f t="shared" si="1"/>
        <v>0</v>
      </c>
      <c r="AA10" s="278">
        <v>1</v>
      </c>
      <c r="AB10" s="24">
        <v>15</v>
      </c>
      <c r="AC10" s="48">
        <f t="shared" si="2"/>
        <v>15</v>
      </c>
      <c r="AD10" s="278"/>
      <c r="AE10" s="24">
        <v>30</v>
      </c>
      <c r="AF10" s="48">
        <f t="shared" si="3"/>
        <v>0</v>
      </c>
      <c r="AG10" s="48">
        <f t="shared" si="4"/>
        <v>4.5</v>
      </c>
      <c r="AH10" s="48">
        <f t="shared" si="5"/>
        <v>19.5</v>
      </c>
      <c r="AI10" s="34">
        <f t="shared" si="6"/>
        <v>113787.5</v>
      </c>
      <c r="AJ10" s="34"/>
      <c r="AK10" s="34">
        <f t="shared" si="7"/>
        <v>1365.5</v>
      </c>
      <c r="AL10" s="34">
        <f t="shared" ref="AL10:AL22" si="18">((979*0.302)+((AK10-979)*0.182))</f>
        <v>366</v>
      </c>
      <c r="AM10" s="51">
        <f>AL10/AK10</f>
        <v>0.26800000000000002</v>
      </c>
      <c r="AN10" s="116">
        <f>1150*0.22*C10+(V10-1150*C10)*0.1</f>
        <v>549.1</v>
      </c>
      <c r="AO10" s="116">
        <f>865*0.029*C10</f>
        <v>50.2</v>
      </c>
      <c r="AP10" s="116">
        <f>AK10*0.053*2</f>
        <v>144.69999999999999</v>
      </c>
      <c r="AQ10" s="116">
        <f>SUM(AN10:AP10)</f>
        <v>744</v>
      </c>
      <c r="AS10" s="51">
        <f t="shared" si="8"/>
        <v>24.021000000000001</v>
      </c>
    </row>
    <row r="11" spans="1:45" ht="13.8" x14ac:dyDescent="0.25">
      <c r="A11" s="278">
        <v>3</v>
      </c>
      <c r="B11" s="106" t="s">
        <v>33</v>
      </c>
      <c r="C11" s="172">
        <v>1</v>
      </c>
      <c r="D11" s="173">
        <v>8.4730000000000008</v>
      </c>
      <c r="E11" s="171">
        <f t="shared" ref="E11:E22" si="19">C11*D11</f>
        <v>8.4700000000000006</v>
      </c>
      <c r="F11" s="154">
        <f t="shared" si="9"/>
        <v>101.6</v>
      </c>
      <c r="G11" s="154"/>
      <c r="H11" s="154"/>
      <c r="I11" s="154"/>
      <c r="J11" s="154"/>
      <c r="K11" s="154">
        <f>D11*0.2*5</f>
        <v>8.5</v>
      </c>
      <c r="L11" s="154">
        <f t="shared" si="10"/>
        <v>34.9</v>
      </c>
      <c r="M11" s="154">
        <f t="shared" si="11"/>
        <v>145</v>
      </c>
      <c r="N11" s="171">
        <v>0.41</v>
      </c>
      <c r="O11" s="154">
        <f t="shared" si="12"/>
        <v>59.5</v>
      </c>
      <c r="P11" s="154">
        <f t="shared" si="13"/>
        <v>204.5</v>
      </c>
      <c r="Q11" s="154">
        <f t="shared" si="14"/>
        <v>163.6</v>
      </c>
      <c r="R11" s="154">
        <f t="shared" si="15"/>
        <v>163.6</v>
      </c>
      <c r="S11" s="154">
        <f t="shared" si="16"/>
        <v>17</v>
      </c>
      <c r="T11" s="154">
        <f t="shared" si="17"/>
        <v>548.70000000000005</v>
      </c>
      <c r="U11" s="1955"/>
      <c r="V11" s="155">
        <f t="shared" si="0"/>
        <v>548.70000000000005</v>
      </c>
      <c r="W11" s="155">
        <f>V11*0.302</f>
        <v>165.7</v>
      </c>
      <c r="X11" s="162"/>
      <c r="Y11" s="163">
        <v>30</v>
      </c>
      <c r="Z11" s="164">
        <f t="shared" si="1"/>
        <v>0</v>
      </c>
      <c r="AA11" s="162"/>
      <c r="AB11" s="163">
        <v>15</v>
      </c>
      <c r="AC11" s="164">
        <f t="shared" si="2"/>
        <v>0</v>
      </c>
      <c r="AD11" s="162"/>
      <c r="AE11" s="163">
        <v>30</v>
      </c>
      <c r="AF11" s="164">
        <f t="shared" si="3"/>
        <v>0</v>
      </c>
      <c r="AG11" s="164">
        <f t="shared" si="4"/>
        <v>0</v>
      </c>
      <c r="AH11" s="164">
        <f t="shared" si="5"/>
        <v>0</v>
      </c>
      <c r="AI11" s="34">
        <f t="shared" si="6"/>
        <v>45725</v>
      </c>
      <c r="AJ11" s="34"/>
      <c r="AK11" s="34">
        <f t="shared" si="7"/>
        <v>548.70000000000005</v>
      </c>
      <c r="AL11" s="34">
        <f t="shared" si="18"/>
        <v>217.3</v>
      </c>
      <c r="AM11" s="51">
        <v>0.30199999999999999</v>
      </c>
      <c r="AO11" s="116"/>
      <c r="AP11" s="116"/>
      <c r="AQ11" s="116"/>
      <c r="AS11" s="51">
        <f t="shared" si="8"/>
        <v>12.71</v>
      </c>
    </row>
    <row r="12" spans="1:45" ht="13.8" x14ac:dyDescent="0.25">
      <c r="A12" s="278">
        <v>4</v>
      </c>
      <c r="B12" s="106" t="s">
        <v>105</v>
      </c>
      <c r="C12" s="172">
        <v>2</v>
      </c>
      <c r="D12" s="173">
        <v>8.4730000000000008</v>
      </c>
      <c r="E12" s="171">
        <f t="shared" si="19"/>
        <v>16.95</v>
      </c>
      <c r="F12" s="154">
        <f t="shared" si="9"/>
        <v>203.4</v>
      </c>
      <c r="G12" s="154"/>
      <c r="H12" s="154"/>
      <c r="I12" s="154"/>
      <c r="J12" s="154"/>
      <c r="K12" s="154">
        <f>F12*0.35</f>
        <v>71.2</v>
      </c>
      <c r="L12" s="154">
        <f t="shared" si="10"/>
        <v>69.8</v>
      </c>
      <c r="M12" s="154">
        <f t="shared" si="11"/>
        <v>344.4</v>
      </c>
      <c r="N12" s="171">
        <v>0.41</v>
      </c>
      <c r="O12" s="154">
        <f t="shared" si="12"/>
        <v>141.19999999999999</v>
      </c>
      <c r="P12" s="154">
        <f t="shared" si="13"/>
        <v>485.6</v>
      </c>
      <c r="Q12" s="154">
        <f t="shared" si="14"/>
        <v>388.5</v>
      </c>
      <c r="R12" s="154">
        <f t="shared" si="15"/>
        <v>388.5</v>
      </c>
      <c r="S12" s="154">
        <f t="shared" si="16"/>
        <v>40.4</v>
      </c>
      <c r="T12" s="154">
        <f t="shared" si="17"/>
        <v>1303</v>
      </c>
      <c r="U12" s="1955"/>
      <c r="V12" s="155">
        <f t="shared" si="0"/>
        <v>1303</v>
      </c>
      <c r="W12" s="155">
        <f t="shared" ref="W12:W22" si="20">V12*0.302</f>
        <v>393.5</v>
      </c>
      <c r="X12" s="162">
        <v>2</v>
      </c>
      <c r="Y12" s="163">
        <v>30</v>
      </c>
      <c r="Z12" s="164">
        <f t="shared" si="1"/>
        <v>60</v>
      </c>
      <c r="AA12" s="162"/>
      <c r="AB12" s="163">
        <v>15</v>
      </c>
      <c r="AC12" s="164">
        <f t="shared" si="2"/>
        <v>0</v>
      </c>
      <c r="AD12" s="162"/>
      <c r="AE12" s="163">
        <v>30</v>
      </c>
      <c r="AF12" s="164">
        <f t="shared" si="3"/>
        <v>0</v>
      </c>
      <c r="AG12" s="164">
        <f t="shared" si="4"/>
        <v>18</v>
      </c>
      <c r="AH12" s="164">
        <f t="shared" si="5"/>
        <v>78</v>
      </c>
      <c r="AI12" s="34">
        <f t="shared" si="6"/>
        <v>54291.7</v>
      </c>
      <c r="AJ12" s="34"/>
      <c r="AK12" s="34">
        <f t="shared" si="7"/>
        <v>651.5</v>
      </c>
      <c r="AL12" s="34">
        <f t="shared" si="18"/>
        <v>236.1</v>
      </c>
      <c r="AM12" s="51">
        <v>0.30199999999999999</v>
      </c>
      <c r="AQ12" s="116"/>
      <c r="AS12" s="51">
        <f t="shared" si="8"/>
        <v>12.71</v>
      </c>
    </row>
    <row r="13" spans="1:45" ht="13.8" x14ac:dyDescent="0.25">
      <c r="A13" s="278">
        <v>5</v>
      </c>
      <c r="B13" s="166" t="s">
        <v>15</v>
      </c>
      <c r="C13" s="174">
        <v>6</v>
      </c>
      <c r="D13" s="175">
        <v>11.061999999999999</v>
      </c>
      <c r="E13" s="171">
        <f t="shared" si="19"/>
        <v>66.37</v>
      </c>
      <c r="F13" s="154">
        <f t="shared" si="9"/>
        <v>796.4</v>
      </c>
      <c r="G13" s="154"/>
      <c r="H13" s="154"/>
      <c r="I13" s="154"/>
      <c r="J13" s="154"/>
      <c r="K13" s="154">
        <f>D13*0.2*12+D13*0.3*12+D13*0.35*12+D13*0.4*3*12</f>
        <v>272.10000000000002</v>
      </c>
      <c r="L13" s="154">
        <f t="shared" si="10"/>
        <v>273.3</v>
      </c>
      <c r="M13" s="154">
        <f t="shared" si="11"/>
        <v>1341.8</v>
      </c>
      <c r="N13" s="171">
        <v>0.43</v>
      </c>
      <c r="O13" s="154">
        <f t="shared" si="12"/>
        <v>577</v>
      </c>
      <c r="P13" s="154">
        <f t="shared" si="13"/>
        <v>1918.8</v>
      </c>
      <c r="Q13" s="154">
        <f t="shared" si="14"/>
        <v>1535</v>
      </c>
      <c r="R13" s="154">
        <f t="shared" si="15"/>
        <v>1535</v>
      </c>
      <c r="S13" s="154">
        <f t="shared" si="16"/>
        <v>159.6</v>
      </c>
      <c r="T13" s="154">
        <f t="shared" si="17"/>
        <v>5148.3999999999996</v>
      </c>
      <c r="U13" s="1955"/>
      <c r="V13" s="155">
        <f t="shared" si="0"/>
        <v>5148.3999999999996</v>
      </c>
      <c r="W13" s="155">
        <f t="shared" si="20"/>
        <v>1554.8</v>
      </c>
      <c r="X13" s="162">
        <v>5</v>
      </c>
      <c r="Y13" s="163">
        <v>30</v>
      </c>
      <c r="Z13" s="164">
        <f t="shared" si="1"/>
        <v>150</v>
      </c>
      <c r="AA13" s="162">
        <v>2</v>
      </c>
      <c r="AB13" s="163">
        <v>15</v>
      </c>
      <c r="AC13" s="164">
        <f t="shared" si="2"/>
        <v>30</v>
      </c>
      <c r="AD13" s="162"/>
      <c r="AE13" s="163">
        <v>30</v>
      </c>
      <c r="AF13" s="164">
        <f t="shared" si="3"/>
        <v>0</v>
      </c>
      <c r="AG13" s="164">
        <f t="shared" si="4"/>
        <v>54</v>
      </c>
      <c r="AH13" s="164">
        <f t="shared" si="5"/>
        <v>234</v>
      </c>
      <c r="AI13" s="34">
        <f t="shared" si="6"/>
        <v>71505.600000000006</v>
      </c>
      <c r="AJ13" s="34"/>
      <c r="AK13" s="34">
        <f t="shared" si="7"/>
        <v>858.1</v>
      </c>
      <c r="AL13" s="34">
        <f t="shared" si="18"/>
        <v>273.7</v>
      </c>
      <c r="AM13" s="51">
        <v>0.30199999999999999</v>
      </c>
      <c r="AO13" s="116"/>
      <c r="AP13" s="116"/>
      <c r="AQ13" s="116"/>
      <c r="AS13" s="51">
        <f t="shared" si="8"/>
        <v>16.593</v>
      </c>
    </row>
    <row r="14" spans="1:45" x14ac:dyDescent="0.25">
      <c r="A14" s="278">
        <v>6</v>
      </c>
      <c r="B14" s="166" t="s">
        <v>16</v>
      </c>
      <c r="C14" s="174">
        <v>17</v>
      </c>
      <c r="D14" s="175">
        <v>11.061999999999999</v>
      </c>
      <c r="E14" s="171">
        <f t="shared" si="19"/>
        <v>188.05</v>
      </c>
      <c r="F14" s="154">
        <f t="shared" si="9"/>
        <v>2256.6</v>
      </c>
      <c r="G14" s="154"/>
      <c r="H14" s="154"/>
      <c r="I14" s="154"/>
      <c r="J14" s="154"/>
      <c r="K14" s="154">
        <f>D14*0.3*12+D14*0.4*12</f>
        <v>92.9</v>
      </c>
      <c r="L14" s="154">
        <f t="shared" si="10"/>
        <v>774.3</v>
      </c>
      <c r="M14" s="154">
        <f t="shared" si="11"/>
        <v>3123.8</v>
      </c>
      <c r="N14" s="171">
        <v>0.43</v>
      </c>
      <c r="O14" s="154">
        <f t="shared" si="12"/>
        <v>1343.2</v>
      </c>
      <c r="P14" s="154">
        <f t="shared" si="13"/>
        <v>4467</v>
      </c>
      <c r="Q14" s="154">
        <f t="shared" si="14"/>
        <v>3573.6</v>
      </c>
      <c r="R14" s="154">
        <f t="shared" si="15"/>
        <v>3573.6</v>
      </c>
      <c r="S14" s="154">
        <f t="shared" si="16"/>
        <v>371.7</v>
      </c>
      <c r="T14" s="154">
        <f t="shared" si="17"/>
        <v>11985.9</v>
      </c>
      <c r="U14" s="1955"/>
      <c r="V14" s="155">
        <f t="shared" si="0"/>
        <v>11985.9</v>
      </c>
      <c r="W14" s="155">
        <f t="shared" si="20"/>
        <v>3619.7</v>
      </c>
      <c r="X14" s="162">
        <v>10</v>
      </c>
      <c r="Y14" s="163">
        <v>30</v>
      </c>
      <c r="Z14" s="164">
        <f t="shared" si="1"/>
        <v>300</v>
      </c>
      <c r="AA14" s="162">
        <v>3</v>
      </c>
      <c r="AB14" s="163">
        <v>15</v>
      </c>
      <c r="AC14" s="164">
        <f t="shared" si="2"/>
        <v>45</v>
      </c>
      <c r="AD14" s="162">
        <v>3</v>
      </c>
      <c r="AE14" s="163">
        <v>30</v>
      </c>
      <c r="AF14" s="164">
        <f t="shared" si="3"/>
        <v>90</v>
      </c>
      <c r="AG14" s="164">
        <f t="shared" si="4"/>
        <v>130.5</v>
      </c>
      <c r="AH14" s="164">
        <f t="shared" si="5"/>
        <v>565.5</v>
      </c>
      <c r="AI14" s="34">
        <f t="shared" si="6"/>
        <v>58754.400000000001</v>
      </c>
      <c r="AJ14" s="34"/>
      <c r="AK14" s="34">
        <f t="shared" si="7"/>
        <v>705.1</v>
      </c>
      <c r="AL14" s="34">
        <f t="shared" si="18"/>
        <v>245.8</v>
      </c>
      <c r="AM14" s="51">
        <v>0.30199999999999999</v>
      </c>
      <c r="AS14" s="51">
        <f t="shared" si="8"/>
        <v>16.593</v>
      </c>
    </row>
    <row r="15" spans="1:45" ht="13.8" x14ac:dyDescent="0.25">
      <c r="A15" s="278">
        <v>7</v>
      </c>
      <c r="B15" s="176" t="s">
        <v>36</v>
      </c>
      <c r="C15" s="167">
        <f>69.5-0.5</f>
        <v>69</v>
      </c>
      <c r="D15" s="177">
        <v>8.4730000000000008</v>
      </c>
      <c r="E15" s="171">
        <f>C15*D15</f>
        <v>584.64</v>
      </c>
      <c r="F15" s="154">
        <f t="shared" si="9"/>
        <v>7015.7</v>
      </c>
      <c r="G15" s="154"/>
      <c r="H15" s="154"/>
      <c r="I15" s="154"/>
      <c r="J15" s="154">
        <f>D15*5.05*12</f>
        <v>513.5</v>
      </c>
      <c r="K15" s="154">
        <f>D15*0.2*12+D15*0.05*4+D15*0.25*8+D15*0.05*16+D15*0.3*11+D15*0.05*31+D15*0.35*12+D15*0.4*12*12</f>
        <v>610.5</v>
      </c>
      <c r="L15" s="154">
        <f t="shared" si="10"/>
        <v>2407.1999999999998</v>
      </c>
      <c r="M15" s="154">
        <f t="shared" si="11"/>
        <v>10546.9</v>
      </c>
      <c r="N15" s="171">
        <v>0.41</v>
      </c>
      <c r="O15" s="154">
        <f t="shared" si="12"/>
        <v>4324.2</v>
      </c>
      <c r="P15" s="154">
        <f t="shared" si="13"/>
        <v>14871.1</v>
      </c>
      <c r="Q15" s="154">
        <f t="shared" si="14"/>
        <v>11896.9</v>
      </c>
      <c r="R15" s="154">
        <f t="shared" si="15"/>
        <v>11896.9</v>
      </c>
      <c r="S15" s="154">
        <f t="shared" si="16"/>
        <v>1237.3</v>
      </c>
      <c r="T15" s="154">
        <f t="shared" si="17"/>
        <v>39902.199999999997</v>
      </c>
      <c r="U15" s="1955"/>
      <c r="V15" s="155">
        <f>T15*$U$9</f>
        <v>39902.199999999997</v>
      </c>
      <c r="W15" s="155">
        <f t="shared" si="20"/>
        <v>12050.5</v>
      </c>
      <c r="X15" s="278">
        <v>41</v>
      </c>
      <c r="Y15" s="24">
        <v>30</v>
      </c>
      <c r="Z15" s="48">
        <f t="shared" si="1"/>
        <v>1230</v>
      </c>
      <c r="AA15" s="54">
        <v>15</v>
      </c>
      <c r="AB15" s="24">
        <v>15</v>
      </c>
      <c r="AC15" s="48">
        <f t="shared" si="2"/>
        <v>225</v>
      </c>
      <c r="AD15" s="54">
        <v>12</v>
      </c>
      <c r="AE15" s="24">
        <v>30</v>
      </c>
      <c r="AF15" s="48">
        <f t="shared" si="3"/>
        <v>360</v>
      </c>
      <c r="AG15" s="48">
        <f t="shared" si="4"/>
        <v>544.5</v>
      </c>
      <c r="AH15" s="48">
        <f t="shared" si="5"/>
        <v>2359.5</v>
      </c>
      <c r="AI15" s="34">
        <f t="shared" si="6"/>
        <v>48191.1</v>
      </c>
      <c r="AJ15" s="34"/>
      <c r="AK15" s="34">
        <f t="shared" si="7"/>
        <v>578.29999999999995</v>
      </c>
      <c r="AL15" s="34">
        <f t="shared" si="18"/>
        <v>222.7</v>
      </c>
      <c r="AM15" s="51">
        <v>0.30199999999999999</v>
      </c>
      <c r="AO15" s="116"/>
      <c r="AP15" s="116"/>
      <c r="AQ15" s="116"/>
      <c r="AS15" s="51">
        <f t="shared" si="8"/>
        <v>12.71</v>
      </c>
    </row>
    <row r="16" spans="1:45" ht="13.8" x14ac:dyDescent="0.25">
      <c r="A16" s="278">
        <v>8</v>
      </c>
      <c r="B16" s="176" t="s">
        <v>37</v>
      </c>
      <c r="C16" s="167">
        <v>6</v>
      </c>
      <c r="D16" s="177">
        <v>8.4730000000000008</v>
      </c>
      <c r="E16" s="171">
        <f>C16*D16</f>
        <v>50.84</v>
      </c>
      <c r="F16" s="154">
        <f t="shared" si="9"/>
        <v>610.1</v>
      </c>
      <c r="G16" s="154"/>
      <c r="H16" s="154"/>
      <c r="I16" s="154"/>
      <c r="J16" s="154">
        <f>D16*0.2*12</f>
        <v>20.3</v>
      </c>
      <c r="K16" s="154">
        <f>D16*0.4*12</f>
        <v>40.700000000000003</v>
      </c>
      <c r="L16" s="154">
        <f t="shared" si="10"/>
        <v>209.3</v>
      </c>
      <c r="M16" s="154">
        <f t="shared" si="11"/>
        <v>880.4</v>
      </c>
      <c r="N16" s="171">
        <v>0.41</v>
      </c>
      <c r="O16" s="154">
        <f t="shared" si="12"/>
        <v>361</v>
      </c>
      <c r="P16" s="154">
        <f t="shared" si="13"/>
        <v>1241.4000000000001</v>
      </c>
      <c r="Q16" s="154">
        <f t="shared" si="14"/>
        <v>993.1</v>
      </c>
      <c r="R16" s="154">
        <f t="shared" si="15"/>
        <v>993.1</v>
      </c>
      <c r="S16" s="154">
        <f t="shared" si="16"/>
        <v>103.3</v>
      </c>
      <c r="T16" s="154">
        <f t="shared" si="17"/>
        <v>3330.9</v>
      </c>
      <c r="U16" s="1955"/>
      <c r="V16" s="155">
        <f t="shared" si="0"/>
        <v>3330.9</v>
      </c>
      <c r="W16" s="155">
        <f t="shared" si="20"/>
        <v>1005.9</v>
      </c>
      <c r="X16" s="278"/>
      <c r="Y16" s="24">
        <v>30</v>
      </c>
      <c r="Z16" s="48">
        <f t="shared" si="1"/>
        <v>0</v>
      </c>
      <c r="AA16" s="54"/>
      <c r="AB16" s="24">
        <v>15</v>
      </c>
      <c r="AC16" s="48">
        <f t="shared" si="2"/>
        <v>0</v>
      </c>
      <c r="AD16" s="54"/>
      <c r="AE16" s="24">
        <v>30</v>
      </c>
      <c r="AF16" s="48">
        <f t="shared" si="3"/>
        <v>0</v>
      </c>
      <c r="AG16" s="48">
        <f t="shared" si="4"/>
        <v>0</v>
      </c>
      <c r="AH16" s="48">
        <f t="shared" si="5"/>
        <v>0</v>
      </c>
      <c r="AI16" s="34">
        <f t="shared" si="6"/>
        <v>46262.5</v>
      </c>
      <c r="AJ16" s="34"/>
      <c r="AK16" s="34">
        <f t="shared" si="7"/>
        <v>555.20000000000005</v>
      </c>
      <c r="AL16" s="34">
        <f t="shared" si="18"/>
        <v>218.5</v>
      </c>
      <c r="AM16" s="51">
        <v>0.30199999999999999</v>
      </c>
      <c r="AN16" s="116"/>
      <c r="AO16" s="116"/>
      <c r="AP16" s="116"/>
      <c r="AQ16" s="116"/>
      <c r="AS16" s="51">
        <f t="shared" si="8"/>
        <v>12.71</v>
      </c>
    </row>
    <row r="17" spans="1:45" x14ac:dyDescent="0.25">
      <c r="A17" s="278">
        <v>9</v>
      </c>
      <c r="B17" s="176" t="s">
        <v>19</v>
      </c>
      <c r="C17" s="167">
        <v>5</v>
      </c>
      <c r="D17" s="177">
        <v>8.4730000000000008</v>
      </c>
      <c r="E17" s="171">
        <f>C17*D17</f>
        <v>42.37</v>
      </c>
      <c r="F17" s="154">
        <f t="shared" si="9"/>
        <v>508.4</v>
      </c>
      <c r="G17" s="154"/>
      <c r="H17" s="154"/>
      <c r="I17" s="154"/>
      <c r="J17" s="154">
        <f>D17*1.25*12</f>
        <v>127.1</v>
      </c>
      <c r="K17" s="154">
        <f>D17*0.3*12+D17*0.35*2*12+D17*0.05*11+D17*0.4*2</f>
        <v>113.1</v>
      </c>
      <c r="L17" s="154">
        <f t="shared" si="10"/>
        <v>174.4</v>
      </c>
      <c r="M17" s="154">
        <f t="shared" si="11"/>
        <v>923</v>
      </c>
      <c r="N17" s="171">
        <v>0.41</v>
      </c>
      <c r="O17" s="154">
        <f t="shared" si="12"/>
        <v>378.4</v>
      </c>
      <c r="P17" s="154">
        <f t="shared" si="13"/>
        <v>1301.4000000000001</v>
      </c>
      <c r="Q17" s="154">
        <f t="shared" si="14"/>
        <v>1041.0999999999999</v>
      </c>
      <c r="R17" s="154">
        <f t="shared" si="15"/>
        <v>1041.0999999999999</v>
      </c>
      <c r="S17" s="154">
        <f t="shared" si="16"/>
        <v>108.3</v>
      </c>
      <c r="T17" s="154">
        <f t="shared" si="17"/>
        <v>3491.9</v>
      </c>
      <c r="U17" s="1955"/>
      <c r="V17" s="155">
        <f t="shared" si="0"/>
        <v>3491.9</v>
      </c>
      <c r="W17" s="155">
        <f t="shared" si="20"/>
        <v>1054.5999999999999</v>
      </c>
      <c r="X17" s="278">
        <v>3</v>
      </c>
      <c r="Y17" s="24">
        <v>30</v>
      </c>
      <c r="Z17" s="48">
        <f t="shared" si="1"/>
        <v>90</v>
      </c>
      <c r="AA17" s="54">
        <v>2</v>
      </c>
      <c r="AB17" s="24">
        <v>15</v>
      </c>
      <c r="AC17" s="48">
        <f t="shared" si="2"/>
        <v>30</v>
      </c>
      <c r="AD17" s="54"/>
      <c r="AE17" s="24">
        <v>30</v>
      </c>
      <c r="AF17" s="48">
        <f t="shared" si="3"/>
        <v>0</v>
      </c>
      <c r="AG17" s="48">
        <f t="shared" si="4"/>
        <v>36</v>
      </c>
      <c r="AH17" s="48">
        <f t="shared" si="5"/>
        <v>156</v>
      </c>
      <c r="AI17" s="34">
        <f t="shared" si="6"/>
        <v>58198.3</v>
      </c>
      <c r="AJ17" s="34"/>
      <c r="AK17" s="34">
        <f t="shared" si="7"/>
        <v>698.4</v>
      </c>
      <c r="AL17" s="34">
        <f t="shared" si="18"/>
        <v>244.6</v>
      </c>
      <c r="AM17" s="51">
        <v>0.30199999999999999</v>
      </c>
      <c r="AS17" s="51">
        <f t="shared" si="8"/>
        <v>12.71</v>
      </c>
    </row>
    <row r="18" spans="1:45" ht="26.4" x14ac:dyDescent="0.25">
      <c r="A18" s="278">
        <v>10</v>
      </c>
      <c r="B18" s="44" t="s">
        <v>131</v>
      </c>
      <c r="C18" s="167">
        <v>1</v>
      </c>
      <c r="D18" s="177">
        <v>8.4730000000000008</v>
      </c>
      <c r="E18" s="171">
        <f>C18*D18</f>
        <v>8.4700000000000006</v>
      </c>
      <c r="F18" s="154">
        <f t="shared" si="9"/>
        <v>101.6</v>
      </c>
      <c r="G18" s="154"/>
      <c r="H18" s="154"/>
      <c r="I18" s="154"/>
      <c r="J18" s="154"/>
      <c r="K18" s="154">
        <f>F18*0.4</f>
        <v>40.6</v>
      </c>
      <c r="L18" s="154">
        <f t="shared" si="10"/>
        <v>34.9</v>
      </c>
      <c r="M18" s="154">
        <f t="shared" si="11"/>
        <v>177.1</v>
      </c>
      <c r="N18" s="171">
        <v>0.41</v>
      </c>
      <c r="O18" s="154">
        <f t="shared" si="12"/>
        <v>72.599999999999994</v>
      </c>
      <c r="P18" s="154">
        <f t="shared" si="13"/>
        <v>249.7</v>
      </c>
      <c r="Q18" s="154">
        <f t="shared" si="14"/>
        <v>199.8</v>
      </c>
      <c r="R18" s="154">
        <f t="shared" si="15"/>
        <v>199.8</v>
      </c>
      <c r="S18" s="154">
        <f t="shared" si="16"/>
        <v>20.8</v>
      </c>
      <c r="T18" s="154">
        <f t="shared" si="17"/>
        <v>670.1</v>
      </c>
      <c r="U18" s="1955"/>
      <c r="V18" s="155">
        <f t="shared" si="0"/>
        <v>670.1</v>
      </c>
      <c r="W18" s="155">
        <f t="shared" si="20"/>
        <v>202.4</v>
      </c>
      <c r="X18" s="278">
        <v>1</v>
      </c>
      <c r="Y18" s="24">
        <v>35</v>
      </c>
      <c r="Z18" s="48">
        <f t="shared" si="1"/>
        <v>35</v>
      </c>
      <c r="AA18" s="54"/>
      <c r="AB18" s="24">
        <v>17.5</v>
      </c>
      <c r="AC18" s="48">
        <f t="shared" si="2"/>
        <v>0</v>
      </c>
      <c r="AD18" s="54"/>
      <c r="AE18" s="24">
        <v>35</v>
      </c>
      <c r="AF18" s="48">
        <f t="shared" si="3"/>
        <v>0</v>
      </c>
      <c r="AG18" s="48">
        <f t="shared" si="4"/>
        <v>10.5</v>
      </c>
      <c r="AH18" s="48">
        <f t="shared" si="5"/>
        <v>45.5</v>
      </c>
      <c r="AI18" s="34">
        <f t="shared" si="6"/>
        <v>55841.7</v>
      </c>
      <c r="AJ18" s="34"/>
      <c r="AK18" s="34">
        <f t="shared" si="7"/>
        <v>670.1</v>
      </c>
      <c r="AL18" s="34">
        <f t="shared" si="18"/>
        <v>239.4</v>
      </c>
      <c r="AM18" s="51">
        <v>0.30199999999999999</v>
      </c>
      <c r="AS18" s="51">
        <f t="shared" si="8"/>
        <v>12.71</v>
      </c>
    </row>
    <row r="19" spans="1:45" x14ac:dyDescent="0.25">
      <c r="A19" s="278">
        <v>11</v>
      </c>
      <c r="B19" s="178" t="s">
        <v>104</v>
      </c>
      <c r="C19" s="179">
        <v>1</v>
      </c>
      <c r="D19" s="177">
        <v>8.4730000000000008</v>
      </c>
      <c r="E19" s="171">
        <f t="shared" si="19"/>
        <v>8.4700000000000006</v>
      </c>
      <c r="F19" s="154">
        <f t="shared" si="9"/>
        <v>101.6</v>
      </c>
      <c r="G19" s="154"/>
      <c r="H19" s="154"/>
      <c r="I19" s="154"/>
      <c r="J19" s="154"/>
      <c r="K19" s="154">
        <f>F19*0.4</f>
        <v>40.6</v>
      </c>
      <c r="L19" s="154">
        <f t="shared" si="10"/>
        <v>34.9</v>
      </c>
      <c r="M19" s="154">
        <f t="shared" si="11"/>
        <v>177.1</v>
      </c>
      <c r="N19" s="171">
        <v>0.41</v>
      </c>
      <c r="O19" s="154">
        <f t="shared" si="12"/>
        <v>72.599999999999994</v>
      </c>
      <c r="P19" s="154">
        <f t="shared" si="13"/>
        <v>249.7</v>
      </c>
      <c r="Q19" s="154">
        <f t="shared" si="14"/>
        <v>199.8</v>
      </c>
      <c r="R19" s="154">
        <f t="shared" si="15"/>
        <v>199.8</v>
      </c>
      <c r="S19" s="154">
        <f t="shared" si="16"/>
        <v>20.8</v>
      </c>
      <c r="T19" s="154">
        <f t="shared" si="17"/>
        <v>670.1</v>
      </c>
      <c r="U19" s="1955"/>
      <c r="V19" s="155">
        <f t="shared" si="0"/>
        <v>670.1</v>
      </c>
      <c r="W19" s="155">
        <f t="shared" si="20"/>
        <v>202.4</v>
      </c>
      <c r="X19" s="278">
        <v>1</v>
      </c>
      <c r="Y19" s="24">
        <v>30</v>
      </c>
      <c r="Z19" s="48">
        <f t="shared" si="1"/>
        <v>30</v>
      </c>
      <c r="AA19" s="54"/>
      <c r="AB19" s="24">
        <v>15</v>
      </c>
      <c r="AC19" s="48">
        <f t="shared" si="2"/>
        <v>0</v>
      </c>
      <c r="AD19" s="54"/>
      <c r="AE19" s="24">
        <v>30</v>
      </c>
      <c r="AF19" s="48">
        <f t="shared" si="3"/>
        <v>0</v>
      </c>
      <c r="AG19" s="48">
        <f t="shared" si="4"/>
        <v>9</v>
      </c>
      <c r="AH19" s="48">
        <f t="shared" si="5"/>
        <v>39</v>
      </c>
      <c r="AI19" s="34">
        <f t="shared" si="6"/>
        <v>55841.7</v>
      </c>
      <c r="AJ19" s="34"/>
      <c r="AK19" s="34">
        <f t="shared" si="7"/>
        <v>670.1</v>
      </c>
      <c r="AL19" s="34">
        <f t="shared" si="18"/>
        <v>239.4</v>
      </c>
      <c r="AM19" s="51">
        <v>0.30199999999999999</v>
      </c>
      <c r="AS19" s="51">
        <f t="shared" si="8"/>
        <v>12.71</v>
      </c>
    </row>
    <row r="20" spans="1:45" x14ac:dyDescent="0.25">
      <c r="A20" s="278">
        <v>12</v>
      </c>
      <c r="B20" s="176" t="s">
        <v>20</v>
      </c>
      <c r="C20" s="180">
        <v>2</v>
      </c>
      <c r="D20" s="177">
        <v>8.4730000000000008</v>
      </c>
      <c r="E20" s="171">
        <f t="shared" si="19"/>
        <v>16.95</v>
      </c>
      <c r="F20" s="154">
        <f t="shared" si="9"/>
        <v>203.4</v>
      </c>
      <c r="G20" s="154"/>
      <c r="H20" s="154"/>
      <c r="I20" s="154"/>
      <c r="J20" s="154">
        <f>D20*0.1*12</f>
        <v>10.199999999999999</v>
      </c>
      <c r="K20" s="154">
        <f>D20*0.35*12</f>
        <v>35.6</v>
      </c>
      <c r="L20" s="154">
        <f t="shared" si="10"/>
        <v>69.8</v>
      </c>
      <c r="M20" s="154">
        <f t="shared" si="11"/>
        <v>319</v>
      </c>
      <c r="N20" s="171">
        <v>0.41</v>
      </c>
      <c r="O20" s="154">
        <f t="shared" si="12"/>
        <v>130.80000000000001</v>
      </c>
      <c r="P20" s="154">
        <f t="shared" si="13"/>
        <v>449.8</v>
      </c>
      <c r="Q20" s="154">
        <f t="shared" si="14"/>
        <v>359.8</v>
      </c>
      <c r="R20" s="154">
        <f t="shared" si="15"/>
        <v>359.8</v>
      </c>
      <c r="S20" s="154">
        <f t="shared" si="16"/>
        <v>37.4</v>
      </c>
      <c r="T20" s="154">
        <f t="shared" si="17"/>
        <v>1206.8</v>
      </c>
      <c r="U20" s="1955"/>
      <c r="V20" s="155">
        <f t="shared" si="0"/>
        <v>1206.8</v>
      </c>
      <c r="W20" s="155">
        <f t="shared" si="20"/>
        <v>364.5</v>
      </c>
      <c r="X20" s="278">
        <v>1</v>
      </c>
      <c r="Y20" s="24">
        <v>30</v>
      </c>
      <c r="Z20" s="48">
        <f t="shared" si="1"/>
        <v>30</v>
      </c>
      <c r="AA20" s="278">
        <v>1</v>
      </c>
      <c r="AB20" s="24">
        <v>15</v>
      </c>
      <c r="AC20" s="48">
        <f t="shared" si="2"/>
        <v>15</v>
      </c>
      <c r="AD20" s="278"/>
      <c r="AE20" s="24">
        <v>30</v>
      </c>
      <c r="AF20" s="48">
        <f t="shared" si="3"/>
        <v>0</v>
      </c>
      <c r="AG20" s="48">
        <f t="shared" si="4"/>
        <v>13.5</v>
      </c>
      <c r="AH20" s="48">
        <f t="shared" si="5"/>
        <v>58.5</v>
      </c>
      <c r="AI20" s="34">
        <f t="shared" si="6"/>
        <v>50283.3</v>
      </c>
      <c r="AJ20" s="34"/>
      <c r="AK20" s="34">
        <f t="shared" si="7"/>
        <v>603.4</v>
      </c>
      <c r="AL20" s="34">
        <f t="shared" si="18"/>
        <v>227.3</v>
      </c>
      <c r="AM20" s="51">
        <v>0.30199999999999999</v>
      </c>
      <c r="AS20" s="51">
        <f t="shared" si="8"/>
        <v>12.71</v>
      </c>
    </row>
    <row r="21" spans="1:45" ht="26.4" x14ac:dyDescent="0.25">
      <c r="A21" s="278">
        <v>13</v>
      </c>
      <c r="B21" s="181" t="s">
        <v>106</v>
      </c>
      <c r="C21" s="172">
        <v>12</v>
      </c>
      <c r="D21" s="182">
        <v>8.4730000000000008</v>
      </c>
      <c r="E21" s="171">
        <f t="shared" si="19"/>
        <v>101.68</v>
      </c>
      <c r="F21" s="154">
        <f t="shared" si="9"/>
        <v>1220.2</v>
      </c>
      <c r="G21" s="154"/>
      <c r="H21" s="154"/>
      <c r="I21" s="154"/>
      <c r="J21" s="154"/>
      <c r="K21" s="154">
        <f>D21*0.2*12+D21*0.4*12+D21*0.2*30</f>
        <v>111.8</v>
      </c>
      <c r="L21" s="154">
        <f t="shared" si="10"/>
        <v>418.7</v>
      </c>
      <c r="M21" s="154">
        <f t="shared" si="11"/>
        <v>1750.7</v>
      </c>
      <c r="N21" s="171">
        <v>0.47</v>
      </c>
      <c r="O21" s="154">
        <f t="shared" si="12"/>
        <v>822.8</v>
      </c>
      <c r="P21" s="154">
        <f t="shared" si="13"/>
        <v>2573.5</v>
      </c>
      <c r="Q21" s="154">
        <f t="shared" si="14"/>
        <v>2058.8000000000002</v>
      </c>
      <c r="R21" s="154">
        <f t="shared" si="15"/>
        <v>2058.8000000000002</v>
      </c>
      <c r="S21" s="154">
        <f t="shared" si="16"/>
        <v>214.1</v>
      </c>
      <c r="T21" s="154">
        <f t="shared" si="17"/>
        <v>6905.2</v>
      </c>
      <c r="U21" s="1955"/>
      <c r="V21" s="155">
        <f t="shared" si="0"/>
        <v>6905.2</v>
      </c>
      <c r="W21" s="155">
        <f t="shared" si="20"/>
        <v>2085.4</v>
      </c>
      <c r="X21" s="272">
        <v>10</v>
      </c>
      <c r="Y21" s="163">
        <v>30</v>
      </c>
      <c r="Z21" s="164">
        <f t="shared" si="1"/>
        <v>300</v>
      </c>
      <c r="AA21" s="272">
        <v>6</v>
      </c>
      <c r="AB21" s="163">
        <v>15</v>
      </c>
      <c r="AC21" s="164">
        <f t="shared" si="2"/>
        <v>90</v>
      </c>
      <c r="AD21" s="272"/>
      <c r="AE21" s="163">
        <v>30</v>
      </c>
      <c r="AF21" s="164">
        <f t="shared" si="3"/>
        <v>0</v>
      </c>
      <c r="AG21" s="164">
        <f t="shared" si="4"/>
        <v>117</v>
      </c>
      <c r="AH21" s="164">
        <f t="shared" si="5"/>
        <v>507</v>
      </c>
      <c r="AI21" s="34">
        <f t="shared" si="6"/>
        <v>47952.800000000003</v>
      </c>
      <c r="AJ21" s="34"/>
      <c r="AK21" s="34">
        <f t="shared" si="7"/>
        <v>575.4</v>
      </c>
      <c r="AL21" s="34">
        <f t="shared" si="18"/>
        <v>222.2</v>
      </c>
      <c r="AM21" s="51">
        <v>0.30199999999999999</v>
      </c>
      <c r="AS21" s="51">
        <f t="shared" si="8"/>
        <v>12.71</v>
      </c>
    </row>
    <row r="22" spans="1:45" s="188" customFormat="1" x14ac:dyDescent="0.25">
      <c r="A22" s="278">
        <v>14</v>
      </c>
      <c r="B22" s="106" t="s">
        <v>107</v>
      </c>
      <c r="C22" s="172">
        <f>2-1</f>
        <v>1</v>
      </c>
      <c r="D22" s="183">
        <v>4.3769999999999998</v>
      </c>
      <c r="E22" s="184">
        <f t="shared" si="19"/>
        <v>4.38</v>
      </c>
      <c r="F22" s="185">
        <f t="shared" si="9"/>
        <v>52.6</v>
      </c>
      <c r="G22" s="155"/>
      <c r="H22" s="155"/>
      <c r="I22" s="155"/>
      <c r="J22" s="155"/>
      <c r="K22" s="155"/>
      <c r="L22" s="154">
        <v>38.299999999999997</v>
      </c>
      <c r="M22" s="186">
        <f t="shared" si="11"/>
        <v>90.9</v>
      </c>
      <c r="N22" s="184">
        <v>0.47</v>
      </c>
      <c r="O22" s="186">
        <f t="shared" si="12"/>
        <v>42.7</v>
      </c>
      <c r="P22" s="186">
        <f t="shared" si="13"/>
        <v>133.6</v>
      </c>
      <c r="Q22" s="186">
        <f t="shared" si="14"/>
        <v>106.9</v>
      </c>
      <c r="R22" s="155">
        <f t="shared" si="15"/>
        <v>106.9</v>
      </c>
      <c r="S22" s="186">
        <f t="shared" si="16"/>
        <v>11.1</v>
      </c>
      <c r="T22" s="186">
        <f t="shared" si="17"/>
        <v>358.5</v>
      </c>
      <c r="U22" s="1956"/>
      <c r="V22" s="186">
        <f>T22*$U$9</f>
        <v>358.5</v>
      </c>
      <c r="W22" s="155">
        <f t="shared" si="20"/>
        <v>108.3</v>
      </c>
      <c r="X22" s="278">
        <v>1</v>
      </c>
      <c r="Y22" s="24">
        <v>30</v>
      </c>
      <c r="Z22" s="48">
        <f t="shared" si="1"/>
        <v>30</v>
      </c>
      <c r="AA22" s="278"/>
      <c r="AB22" s="24">
        <v>15</v>
      </c>
      <c r="AC22" s="48">
        <f t="shared" si="2"/>
        <v>0</v>
      </c>
      <c r="AD22" s="278">
        <v>1</v>
      </c>
      <c r="AE22" s="24">
        <v>30</v>
      </c>
      <c r="AF22" s="48">
        <f t="shared" si="3"/>
        <v>30</v>
      </c>
      <c r="AG22" s="48">
        <f t="shared" si="4"/>
        <v>18</v>
      </c>
      <c r="AH22" s="48">
        <f t="shared" si="5"/>
        <v>78</v>
      </c>
      <c r="AI22" s="34">
        <f t="shared" si="6"/>
        <v>29875</v>
      </c>
      <c r="AJ22" s="187"/>
      <c r="AK22" s="34">
        <f t="shared" si="7"/>
        <v>358.5</v>
      </c>
      <c r="AL22" s="34">
        <f t="shared" si="18"/>
        <v>182.7</v>
      </c>
      <c r="AM22" s="51">
        <v>0.30199999999999999</v>
      </c>
      <c r="AN22" s="22"/>
      <c r="AO22" s="22"/>
      <c r="AP22" s="22"/>
      <c r="AQ22" s="22"/>
      <c r="AS22" s="51">
        <f t="shared" si="8"/>
        <v>6.5659999999999998</v>
      </c>
    </row>
    <row r="23" spans="1:45" s="33" customFormat="1" ht="20.25" customHeight="1" x14ac:dyDescent="0.25">
      <c r="A23" s="1951" t="s">
        <v>72</v>
      </c>
      <c r="B23" s="1951"/>
      <c r="C23" s="189">
        <f t="shared" ref="C23:AH23" si="21">SUM(C9:C22)</f>
        <v>126</v>
      </c>
      <c r="D23" s="156">
        <f t="shared" si="21"/>
        <v>141.6</v>
      </c>
      <c r="E23" s="156">
        <f t="shared" si="21"/>
        <v>1152.5999999999999</v>
      </c>
      <c r="F23" s="156">
        <f t="shared" si="21"/>
        <v>13830.6</v>
      </c>
      <c r="G23" s="156">
        <f t="shared" si="21"/>
        <v>0</v>
      </c>
      <c r="H23" s="156">
        <f t="shared" si="21"/>
        <v>0</v>
      </c>
      <c r="I23" s="156">
        <f t="shared" si="21"/>
        <v>48</v>
      </c>
      <c r="J23" s="156">
        <f t="shared" si="21"/>
        <v>671.1</v>
      </c>
      <c r="K23" s="156">
        <f t="shared" si="21"/>
        <v>1675.5</v>
      </c>
      <c r="L23" s="156">
        <f t="shared" si="21"/>
        <v>4765.8999999999996</v>
      </c>
      <c r="M23" s="156">
        <f t="shared" si="21"/>
        <v>20991.1</v>
      </c>
      <c r="N23" s="156"/>
      <c r="O23" s="156">
        <f t="shared" si="21"/>
        <v>8876.2999999999993</v>
      </c>
      <c r="P23" s="156">
        <f t="shared" si="21"/>
        <v>29867.4</v>
      </c>
      <c r="Q23" s="156">
        <f t="shared" si="21"/>
        <v>23893.9</v>
      </c>
      <c r="R23" s="156">
        <f t="shared" si="21"/>
        <v>23893.9</v>
      </c>
      <c r="S23" s="156">
        <f t="shared" si="21"/>
        <v>2485</v>
      </c>
      <c r="T23" s="156">
        <f t="shared" si="21"/>
        <v>80140.2</v>
      </c>
      <c r="U23" s="156">
        <f t="shared" si="21"/>
        <v>1</v>
      </c>
      <c r="V23" s="156">
        <f t="shared" si="21"/>
        <v>80140.2</v>
      </c>
      <c r="W23" s="156">
        <f>SUM(W9:W22)</f>
        <v>24003.599999999999</v>
      </c>
      <c r="X23" s="156">
        <f>SUM(X9:X22)</f>
        <v>75</v>
      </c>
      <c r="Y23" s="156">
        <f t="shared" si="21"/>
        <v>425</v>
      </c>
      <c r="Z23" s="190">
        <f t="shared" si="21"/>
        <v>2255</v>
      </c>
      <c r="AA23" s="156">
        <f t="shared" si="21"/>
        <v>30</v>
      </c>
      <c r="AB23" s="156">
        <f t="shared" si="21"/>
        <v>212.5</v>
      </c>
      <c r="AC23" s="190">
        <f t="shared" si="21"/>
        <v>450</v>
      </c>
      <c r="AD23" s="156">
        <f t="shared" si="21"/>
        <v>16</v>
      </c>
      <c r="AE23" s="156">
        <f t="shared" si="21"/>
        <v>425</v>
      </c>
      <c r="AF23" s="190">
        <f t="shared" si="21"/>
        <v>480</v>
      </c>
      <c r="AG23" s="190">
        <f t="shared" si="21"/>
        <v>955.5</v>
      </c>
      <c r="AH23" s="190">
        <f t="shared" si="21"/>
        <v>4140.5</v>
      </c>
      <c r="AI23" s="34"/>
      <c r="AJ23" s="187"/>
      <c r="AK23" s="34"/>
      <c r="AL23" s="34"/>
      <c r="AM23" s="51"/>
      <c r="AN23" s="22"/>
      <c r="AO23" s="22"/>
      <c r="AP23" s="22"/>
      <c r="AQ23" s="22"/>
      <c r="AS23" s="51"/>
    </row>
    <row r="24" spans="1:45" s="192" customFormat="1" ht="14.25" customHeight="1" x14ac:dyDescent="0.25">
      <c r="A24" s="33"/>
      <c r="B24" s="22"/>
      <c r="C24" s="191"/>
      <c r="D24" s="22"/>
      <c r="E24" s="22"/>
      <c r="F24" s="22"/>
      <c r="G24" s="39"/>
      <c r="H24" s="39"/>
      <c r="I24" s="39"/>
      <c r="J24" s="39"/>
      <c r="K24" s="39"/>
      <c r="L24" s="39"/>
      <c r="M24" s="39"/>
      <c r="N24" s="39"/>
      <c r="O24" s="39"/>
      <c r="P24" s="39"/>
      <c r="Q24" s="39"/>
      <c r="R24" s="39"/>
      <c r="S24" s="39"/>
      <c r="T24" s="39"/>
      <c r="U24" s="22"/>
      <c r="V24" s="34"/>
      <c r="W24" s="66"/>
      <c r="X24" s="39"/>
      <c r="Y24" s="22"/>
      <c r="Z24" s="22"/>
      <c r="AA24" s="39"/>
      <c r="AB24" s="22"/>
      <c r="AC24" s="22"/>
      <c r="AD24" s="39"/>
      <c r="AE24" s="22"/>
      <c r="AF24" s="22"/>
      <c r="AG24" s="39"/>
      <c r="AH24" s="39"/>
      <c r="AI24" s="34"/>
      <c r="AJ24" s="187"/>
      <c r="AK24" s="34"/>
      <c r="AL24" s="34"/>
      <c r="AM24" s="51"/>
      <c r="AN24" s="22"/>
      <c r="AO24" s="22"/>
      <c r="AP24" s="22"/>
      <c r="AQ24" s="22"/>
      <c r="AS24" s="51"/>
    </row>
    <row r="25" spans="1:45" s="192" customFormat="1" ht="14.25" customHeight="1" x14ac:dyDescent="0.25">
      <c r="A25" s="33"/>
      <c r="B25" s="22"/>
      <c r="C25" s="191"/>
      <c r="D25" s="22"/>
      <c r="E25" s="22"/>
      <c r="F25" s="22"/>
      <c r="G25" s="39"/>
      <c r="H25" s="39"/>
      <c r="I25" s="39"/>
      <c r="J25" s="39"/>
      <c r="K25" s="39"/>
      <c r="L25" s="39"/>
      <c r="M25" s="39"/>
      <c r="N25" s="39"/>
      <c r="O25" s="39"/>
      <c r="P25" s="39"/>
      <c r="Q25" s="39"/>
      <c r="R25" s="39"/>
      <c r="S25" s="39"/>
      <c r="T25" s="39"/>
      <c r="U25" s="22"/>
      <c r="V25" s="66"/>
      <c r="W25" s="34"/>
      <c r="X25" s="39"/>
      <c r="Y25" s="22"/>
      <c r="Z25" s="22"/>
      <c r="AA25" s="39"/>
      <c r="AB25" s="22"/>
      <c r="AC25" s="22"/>
      <c r="AD25" s="39"/>
      <c r="AE25" s="22"/>
      <c r="AF25" s="22"/>
      <c r="AG25" s="39"/>
      <c r="AH25" s="39"/>
      <c r="AI25" s="34"/>
      <c r="AJ25" s="187"/>
      <c r="AK25" s="34"/>
      <c r="AL25" s="34"/>
      <c r="AM25" s="51"/>
      <c r="AN25" s="22"/>
      <c r="AO25" s="22"/>
      <c r="AP25" s="22"/>
      <c r="AQ25" s="22"/>
      <c r="AS25" s="51"/>
    </row>
    <row r="26" spans="1:45" s="192" customFormat="1" ht="58.5" customHeight="1" x14ac:dyDescent="0.25">
      <c r="A26" s="33"/>
      <c r="B26" s="22"/>
      <c r="C26" s="191"/>
      <c r="D26" s="22"/>
      <c r="E26" s="22"/>
      <c r="F26" s="22"/>
      <c r="G26" s="1545" t="s">
        <v>140</v>
      </c>
      <c r="H26" s="1545"/>
      <c r="I26" s="1545" t="s">
        <v>143</v>
      </c>
      <c r="J26" s="1545"/>
      <c r="K26" s="1540" t="s">
        <v>135</v>
      </c>
      <c r="L26" s="1541"/>
      <c r="M26" s="1545" t="s">
        <v>128</v>
      </c>
      <c r="N26" s="1545"/>
      <c r="Q26" s="39"/>
      <c r="R26" s="39"/>
      <c r="S26" s="39"/>
      <c r="T26" s="39"/>
      <c r="U26" s="22"/>
      <c r="V26" s="34"/>
      <c r="W26" s="34"/>
      <c r="X26" s="39"/>
      <c r="Y26" s="22"/>
      <c r="Z26" s="22"/>
      <c r="AA26" s="39"/>
      <c r="AB26" s="22"/>
      <c r="AC26" s="22"/>
      <c r="AD26" s="39"/>
      <c r="AE26" s="22"/>
      <c r="AF26" s="22"/>
      <c r="AG26" s="39"/>
      <c r="AH26" s="39"/>
      <c r="AI26" s="34"/>
      <c r="AJ26" s="187"/>
      <c r="AK26" s="34"/>
      <c r="AL26" s="34"/>
      <c r="AM26" s="51"/>
      <c r="AN26" s="22"/>
      <c r="AO26" s="22"/>
      <c r="AP26" s="22"/>
      <c r="AQ26" s="22"/>
      <c r="AS26" s="51"/>
    </row>
    <row r="27" spans="1:45" s="192" customFormat="1" ht="14.25" customHeight="1" x14ac:dyDescent="0.25">
      <c r="A27" s="33"/>
      <c r="B27" s="22"/>
      <c r="C27" s="191"/>
      <c r="D27" s="22"/>
      <c r="E27" s="22"/>
      <c r="F27" s="22"/>
      <c r="G27" s="279">
        <v>991</v>
      </c>
      <c r="H27" s="279">
        <v>992</v>
      </c>
      <c r="I27" s="279">
        <v>991</v>
      </c>
      <c r="J27" s="279">
        <v>992</v>
      </c>
      <c r="K27" s="279">
        <v>991</v>
      </c>
      <c r="L27" s="279">
        <v>992</v>
      </c>
      <c r="M27" s="279">
        <v>991</v>
      </c>
      <c r="N27" s="279">
        <v>992</v>
      </c>
      <c r="Q27" s="39"/>
      <c r="R27" s="39"/>
      <c r="S27" s="39"/>
      <c r="T27" s="39"/>
      <c r="U27" s="22"/>
      <c r="V27" s="34"/>
      <c r="W27" s="34"/>
      <c r="X27" s="39"/>
      <c r="Y27" s="22"/>
      <c r="Z27" s="22"/>
      <c r="AA27" s="39"/>
      <c r="AB27" s="22"/>
      <c r="AC27" s="22"/>
      <c r="AD27" s="39"/>
      <c r="AE27" s="22"/>
      <c r="AF27" s="22"/>
      <c r="AG27" s="39"/>
      <c r="AH27" s="39"/>
      <c r="AI27" s="34"/>
      <c r="AJ27" s="187"/>
      <c r="AK27" s="34"/>
      <c r="AL27" s="34"/>
      <c r="AM27" s="51"/>
      <c r="AN27" s="22"/>
      <c r="AO27" s="22"/>
      <c r="AP27" s="22"/>
      <c r="AQ27" s="22"/>
      <c r="AS27" s="51"/>
    </row>
    <row r="28" spans="1:45" s="192" customFormat="1" ht="14.25" customHeight="1" x14ac:dyDescent="0.25">
      <c r="A28" s="33"/>
      <c r="B28" s="22"/>
      <c r="C28" s="191"/>
      <c r="D28" s="22"/>
      <c r="E28" s="22"/>
      <c r="F28" s="22"/>
      <c r="G28" s="29">
        <f>76536+3092.6+824.1</f>
        <v>80452.7</v>
      </c>
      <c r="H28" s="29">
        <v>24137.9</v>
      </c>
      <c r="I28" s="29">
        <v>312.5</v>
      </c>
      <c r="J28" s="29">
        <v>94.4</v>
      </c>
      <c r="K28" s="29">
        <f>V23</f>
        <v>80140.2</v>
      </c>
      <c r="L28" s="29">
        <f>W23</f>
        <v>24003.599999999999</v>
      </c>
      <c r="M28" s="29">
        <f>G28-I28-K28</f>
        <v>0</v>
      </c>
      <c r="N28" s="29">
        <f>H28-J28-L28</f>
        <v>39.9</v>
      </c>
      <c r="Q28" s="39"/>
      <c r="R28" s="39"/>
      <c r="S28" s="39"/>
      <c r="T28" s="39"/>
      <c r="U28" s="22"/>
      <c r="V28" s="34"/>
      <c r="W28" s="34"/>
      <c r="X28" s="39"/>
      <c r="Y28" s="22"/>
      <c r="Z28" s="22"/>
      <c r="AA28" s="39"/>
      <c r="AB28" s="22"/>
      <c r="AC28" s="22"/>
      <c r="AD28" s="39"/>
      <c r="AE28" s="22"/>
      <c r="AF28" s="22"/>
      <c r="AG28" s="39"/>
      <c r="AH28" s="39"/>
      <c r="AI28" s="34"/>
      <c r="AJ28" s="187"/>
      <c r="AK28" s="34"/>
      <c r="AL28" s="34"/>
      <c r="AM28" s="51"/>
      <c r="AN28" s="22"/>
      <c r="AO28" s="22"/>
      <c r="AP28" s="22"/>
      <c r="AQ28" s="22"/>
      <c r="AS28" s="51"/>
    </row>
    <row r="29" spans="1:45" s="192" customFormat="1" ht="14.25" customHeight="1" x14ac:dyDescent="0.25">
      <c r="A29" s="33"/>
      <c r="B29" s="22"/>
      <c r="C29" s="191"/>
      <c r="D29" s="22"/>
      <c r="E29" s="22"/>
      <c r="F29" s="22"/>
      <c r="G29" s="39"/>
      <c r="H29" s="39"/>
      <c r="I29" s="157"/>
      <c r="J29" s="157"/>
      <c r="K29" s="157"/>
      <c r="L29" s="157"/>
      <c r="M29" s="39"/>
      <c r="N29" s="39"/>
      <c r="O29" s="39"/>
      <c r="P29" s="39"/>
      <c r="Q29" s="39"/>
      <c r="R29" s="39"/>
      <c r="S29" s="39"/>
      <c r="T29" s="39"/>
      <c r="U29" s="22"/>
      <c r="V29" s="34"/>
      <c r="W29" s="34"/>
      <c r="X29" s="39"/>
      <c r="Y29" s="22"/>
      <c r="Z29" s="22"/>
      <c r="AA29" s="39"/>
      <c r="AB29" s="22"/>
      <c r="AC29" s="22"/>
      <c r="AD29" s="39"/>
      <c r="AE29" s="22"/>
      <c r="AF29" s="22"/>
      <c r="AG29" s="39"/>
      <c r="AH29" s="39"/>
      <c r="AI29" s="34"/>
      <c r="AJ29" s="187"/>
      <c r="AK29" s="34"/>
      <c r="AL29" s="34"/>
      <c r="AM29" s="51"/>
      <c r="AN29" s="22"/>
      <c r="AO29" s="22"/>
      <c r="AP29" s="22"/>
      <c r="AQ29" s="22"/>
      <c r="AS29" s="51"/>
    </row>
    <row r="30" spans="1:45" s="192" customFormat="1" ht="14.25" customHeight="1" x14ac:dyDescent="0.25">
      <c r="A30" s="33"/>
      <c r="B30" s="22"/>
      <c r="C30" s="191"/>
      <c r="D30" s="22"/>
      <c r="E30" s="22"/>
      <c r="F30" s="22"/>
      <c r="G30" s="39"/>
      <c r="H30" s="39"/>
      <c r="I30" s="157"/>
      <c r="J30" s="157"/>
      <c r="K30" s="157"/>
      <c r="L30" s="157"/>
      <c r="M30" s="39"/>
      <c r="N30" s="39"/>
      <c r="O30" s="39"/>
      <c r="P30" s="39"/>
      <c r="Q30" s="39"/>
      <c r="R30" s="39"/>
      <c r="S30" s="39"/>
      <c r="T30" s="39"/>
      <c r="U30" s="22"/>
      <c r="V30" s="34"/>
      <c r="W30" s="34"/>
      <c r="X30" s="39"/>
      <c r="Y30" s="22"/>
      <c r="Z30" s="22"/>
      <c r="AA30" s="39"/>
      <c r="AB30" s="22"/>
      <c r="AC30" s="22"/>
      <c r="AD30" s="39"/>
      <c r="AE30" s="22"/>
      <c r="AF30" s="22"/>
      <c r="AG30" s="39"/>
      <c r="AH30" s="39"/>
      <c r="AI30" s="34"/>
      <c r="AJ30" s="187"/>
      <c r="AK30" s="34"/>
      <c r="AL30" s="34"/>
      <c r="AM30" s="51"/>
      <c r="AN30" s="22"/>
      <c r="AO30" s="22"/>
      <c r="AP30" s="22"/>
      <c r="AQ30" s="22"/>
      <c r="AS30" s="51"/>
    </row>
    <row r="31" spans="1:45" s="192" customFormat="1" ht="14.25" customHeight="1" x14ac:dyDescent="0.25">
      <c r="A31" s="33"/>
      <c r="B31" s="22"/>
      <c r="C31" s="191"/>
      <c r="D31" s="22"/>
      <c r="E31" s="22"/>
      <c r="F31" s="22"/>
      <c r="G31" s="39"/>
      <c r="H31" s="39"/>
      <c r="I31" s="39"/>
      <c r="J31" s="39"/>
      <c r="K31" s="39"/>
      <c r="L31" s="39"/>
      <c r="M31" s="39"/>
      <c r="N31" s="39"/>
      <c r="O31" s="39"/>
      <c r="P31" s="39"/>
      <c r="Q31" s="39"/>
      <c r="R31" s="39"/>
      <c r="S31" s="39"/>
      <c r="T31" s="39"/>
      <c r="U31" s="22"/>
      <c r="V31" s="34"/>
      <c r="W31" s="34"/>
      <c r="X31" s="39"/>
      <c r="Y31" s="22"/>
      <c r="Z31" s="22"/>
      <c r="AA31" s="39"/>
      <c r="AB31" s="22"/>
      <c r="AC31" s="22"/>
      <c r="AD31" s="39"/>
      <c r="AE31" s="22"/>
      <c r="AF31" s="22"/>
      <c r="AG31" s="39"/>
      <c r="AH31" s="39"/>
      <c r="AI31" s="34"/>
      <c r="AJ31" s="187"/>
      <c r="AK31" s="34"/>
      <c r="AL31" s="34"/>
      <c r="AM31" s="51"/>
      <c r="AN31" s="22"/>
      <c r="AO31" s="22"/>
      <c r="AP31" s="22"/>
      <c r="AQ31" s="22"/>
      <c r="AS31" s="51"/>
    </row>
    <row r="32" spans="1:45" s="192" customFormat="1" ht="14.25" customHeight="1" x14ac:dyDescent="0.25">
      <c r="A32" s="33"/>
      <c r="B32" s="22"/>
      <c r="C32" s="191"/>
      <c r="D32" s="22"/>
      <c r="E32" s="22"/>
      <c r="F32" s="22"/>
      <c r="G32" s="39"/>
      <c r="H32" s="39"/>
      <c r="I32" s="39"/>
      <c r="J32" s="39"/>
      <c r="K32" s="39"/>
      <c r="L32" s="39"/>
      <c r="M32" s="39"/>
      <c r="N32" s="39"/>
      <c r="O32" s="39"/>
      <c r="P32" s="39"/>
      <c r="Q32" s="39"/>
      <c r="R32" s="39"/>
      <c r="S32" s="39"/>
      <c r="T32" s="39"/>
      <c r="U32" s="22"/>
      <c r="V32" s="39"/>
      <c r="W32" s="39"/>
      <c r="X32" s="39"/>
      <c r="Y32" s="22"/>
      <c r="Z32" s="22"/>
      <c r="AA32" s="39"/>
      <c r="AB32" s="22"/>
      <c r="AC32" s="22"/>
      <c r="AD32" s="39"/>
      <c r="AE32" s="22"/>
      <c r="AF32" s="22"/>
      <c r="AG32" s="39"/>
      <c r="AH32" s="39"/>
      <c r="AI32" s="34"/>
      <c r="AJ32" s="187"/>
      <c r="AK32" s="34"/>
      <c r="AL32" s="34"/>
      <c r="AM32" s="51"/>
      <c r="AN32" s="22"/>
      <c r="AO32" s="22"/>
      <c r="AP32" s="22"/>
      <c r="AQ32" s="22"/>
    </row>
    <row r="33" spans="1:43" s="195" customFormat="1" ht="13.8" x14ac:dyDescent="0.25">
      <c r="A33" s="165"/>
      <c r="B33" s="193"/>
      <c r="C33" s="194"/>
      <c r="D33" s="194"/>
      <c r="E33" s="158"/>
      <c r="F33" s="158"/>
      <c r="G33" s="158"/>
      <c r="H33" s="158"/>
      <c r="I33" s="158"/>
      <c r="J33" s="158"/>
      <c r="K33" s="158"/>
      <c r="L33" s="158"/>
      <c r="M33" s="157"/>
      <c r="N33" s="157"/>
      <c r="O33" s="157"/>
      <c r="P33" s="157"/>
      <c r="Q33" s="157"/>
      <c r="R33" s="157"/>
      <c r="S33" s="157"/>
      <c r="T33" s="157"/>
      <c r="V33" s="157"/>
      <c r="W33" s="157"/>
      <c r="Z33" s="157"/>
      <c r="AC33" s="157"/>
      <c r="AF33" s="157"/>
      <c r="AG33" s="157"/>
      <c r="AI33" s="196"/>
      <c r="AN33" s="62"/>
      <c r="AO33" s="62"/>
      <c r="AP33" s="62"/>
      <c r="AQ33" s="62"/>
    </row>
    <row r="34" spans="1:43" s="195" customFormat="1" ht="13.8" x14ac:dyDescent="0.25">
      <c r="A34" s="165"/>
      <c r="B34" s="193"/>
      <c r="C34" s="194"/>
      <c r="D34" s="194"/>
      <c r="E34" s="158"/>
      <c r="F34" s="158"/>
      <c r="G34" s="158"/>
      <c r="H34" s="158"/>
      <c r="I34" s="158"/>
      <c r="J34" s="158"/>
      <c r="K34" s="158"/>
      <c r="L34" s="158"/>
      <c r="M34" s="157"/>
      <c r="N34" s="157"/>
      <c r="O34" s="157"/>
      <c r="P34" s="157"/>
      <c r="Q34" s="157"/>
      <c r="R34" s="157"/>
      <c r="S34" s="157"/>
      <c r="T34" s="157"/>
      <c r="V34" s="157"/>
      <c r="W34" s="157"/>
      <c r="Z34" s="157"/>
      <c r="AC34" s="157"/>
      <c r="AF34" s="157"/>
      <c r="AG34" s="157"/>
      <c r="AI34" s="196"/>
      <c r="AN34" s="62"/>
      <c r="AO34" s="62"/>
      <c r="AP34" s="62"/>
      <c r="AQ34" s="62"/>
    </row>
    <row r="35" spans="1:43" s="282" customFormat="1" ht="21" x14ac:dyDescent="0.25">
      <c r="A35" s="81"/>
      <c r="B35" s="82" t="s">
        <v>138</v>
      </c>
      <c r="C35" s="83"/>
      <c r="D35" s="84"/>
      <c r="E35" s="84"/>
      <c r="F35" s="85"/>
      <c r="G35" s="85"/>
      <c r="H35" s="86"/>
      <c r="I35" s="86"/>
      <c r="J35" s="85"/>
      <c r="K35" s="30" t="s">
        <v>166</v>
      </c>
      <c r="L35" s="85"/>
      <c r="M35" s="85"/>
      <c r="N35" s="87"/>
      <c r="O35" s="85"/>
      <c r="P35" s="85"/>
      <c r="Q35" s="85"/>
      <c r="R35" s="85"/>
      <c r="S35" s="85"/>
      <c r="T35" s="85"/>
      <c r="U35" s="85"/>
      <c r="V35" s="85"/>
      <c r="W35" s="85"/>
      <c r="X35" s="85"/>
      <c r="Y35" s="85"/>
      <c r="Z35" s="85"/>
      <c r="AA35" s="85"/>
      <c r="AB35" s="85"/>
      <c r="AC35" s="85"/>
      <c r="AD35" s="85"/>
      <c r="AE35" s="85"/>
      <c r="AF35" s="85"/>
      <c r="AG35" s="85"/>
      <c r="AH35" s="85"/>
      <c r="AI35" s="85"/>
      <c r="AK35" s="88"/>
      <c r="AL35" s="88"/>
      <c r="AM35" s="88"/>
      <c r="AN35" s="88"/>
      <c r="AO35" s="88"/>
    </row>
    <row r="36" spans="1:43" s="205" customFormat="1" ht="13.8" x14ac:dyDescent="0.25">
      <c r="A36" s="197"/>
      <c r="B36" s="197"/>
      <c r="C36" s="198"/>
      <c r="D36" s="199"/>
      <c r="E36" s="199"/>
      <c r="F36" s="159"/>
      <c r="G36" s="159"/>
      <c r="H36" s="200"/>
      <c r="I36" s="200"/>
      <c r="J36" s="159"/>
      <c r="K36" s="159"/>
      <c r="L36" s="159"/>
      <c r="M36" s="159"/>
      <c r="N36" s="201"/>
      <c r="O36" s="159"/>
      <c r="P36" s="159"/>
      <c r="Q36" s="159"/>
      <c r="R36" s="159"/>
      <c r="S36" s="159"/>
      <c r="T36" s="159"/>
      <c r="U36" s="159"/>
      <c r="V36" s="202"/>
      <c r="W36" s="202"/>
      <c r="X36" s="203"/>
      <c r="Y36" s="159"/>
      <c r="Z36" s="159"/>
      <c r="AA36" s="159"/>
      <c r="AB36" s="159"/>
      <c r="AC36" s="159"/>
      <c r="AD36" s="159"/>
      <c r="AE36" s="159"/>
      <c r="AF36" s="159"/>
      <c r="AG36" s="159"/>
      <c r="AH36" s="204"/>
      <c r="AM36" s="204"/>
      <c r="AN36" s="76"/>
      <c r="AO36" s="76"/>
      <c r="AP36" s="76"/>
      <c r="AQ36" s="76"/>
    </row>
    <row r="37" spans="1:43" s="205" customFormat="1" ht="15.6" x14ac:dyDescent="0.25">
      <c r="A37" s="206" t="s">
        <v>96</v>
      </c>
      <c r="B37" s="206"/>
      <c r="C37" s="160"/>
      <c r="D37" s="160"/>
      <c r="E37" s="160"/>
      <c r="F37" s="160"/>
      <c r="G37" s="160"/>
      <c r="H37" s="160"/>
      <c r="I37" s="160"/>
      <c r="J37" s="160"/>
      <c r="K37" s="160"/>
      <c r="L37" s="207"/>
      <c r="M37" s="207"/>
      <c r="N37" s="208"/>
      <c r="O37" s="207"/>
      <c r="P37" s="207"/>
      <c r="Q37" s="207"/>
      <c r="R37" s="207"/>
      <c r="S37" s="207"/>
      <c r="T37" s="207"/>
      <c r="U37" s="207"/>
      <c r="V37" s="207"/>
      <c r="W37" s="207"/>
      <c r="X37" s="207"/>
      <c r="Y37" s="207"/>
      <c r="Z37" s="207"/>
      <c r="AA37" s="207"/>
      <c r="AB37" s="207"/>
      <c r="AC37" s="207"/>
      <c r="AD37" s="207"/>
      <c r="AE37" s="207"/>
      <c r="AF37" s="207"/>
      <c r="AG37" s="207"/>
      <c r="AH37" s="204"/>
      <c r="AM37" s="204"/>
      <c r="AN37" s="76"/>
      <c r="AO37" s="76"/>
      <c r="AP37" s="76"/>
      <c r="AQ37" s="76"/>
    </row>
    <row r="38" spans="1:43" s="205" customFormat="1" ht="15.6" x14ac:dyDescent="0.25">
      <c r="A38" s="206" t="s">
        <v>139</v>
      </c>
      <c r="B38" s="209"/>
      <c r="C38" s="210"/>
      <c r="D38" s="210"/>
      <c r="E38" s="161"/>
      <c r="F38" s="161"/>
      <c r="G38" s="161"/>
      <c r="H38" s="161"/>
      <c r="I38" s="161"/>
      <c r="J38" s="161"/>
      <c r="K38" s="161"/>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4"/>
      <c r="AM38" s="204"/>
      <c r="AN38" s="76"/>
      <c r="AO38" s="76"/>
      <c r="AP38" s="76"/>
      <c r="AQ38" s="76"/>
    </row>
    <row r="39" spans="1:43" ht="21" x14ac:dyDescent="0.25">
      <c r="AN39" s="88"/>
      <c r="AO39" s="88"/>
      <c r="AP39" s="88"/>
      <c r="AQ39" s="88"/>
    </row>
    <row r="40" spans="1:43" x14ac:dyDescent="0.25">
      <c r="E40" s="51"/>
      <c r="F40" s="51"/>
    </row>
    <row r="41" spans="1:43" x14ac:dyDescent="0.25">
      <c r="E41" s="51"/>
      <c r="F41" s="51"/>
    </row>
    <row r="42" spans="1:43" x14ac:dyDescent="0.25">
      <c r="E42" s="51"/>
      <c r="F42" s="51"/>
    </row>
    <row r="43" spans="1:43" x14ac:dyDescent="0.25">
      <c r="E43" s="51"/>
      <c r="F43" s="51"/>
    </row>
    <row r="44" spans="1:43" x14ac:dyDescent="0.25">
      <c r="E44" s="51"/>
      <c r="F44" s="51"/>
    </row>
    <row r="45" spans="1:43" x14ac:dyDescent="0.25">
      <c r="E45" s="51"/>
      <c r="F45" s="51"/>
    </row>
    <row r="46" spans="1:43" x14ac:dyDescent="0.25">
      <c r="E46" s="51"/>
      <c r="F46" s="51"/>
    </row>
    <row r="47" spans="1:43" x14ac:dyDescent="0.25">
      <c r="E47" s="51"/>
      <c r="F47" s="51"/>
    </row>
    <row r="48" spans="1:43" x14ac:dyDescent="0.25">
      <c r="E48" s="51"/>
      <c r="F48" s="51"/>
    </row>
    <row r="49" spans="5:6" x14ac:dyDescent="0.25">
      <c r="E49" s="51"/>
      <c r="F49" s="51"/>
    </row>
    <row r="50" spans="5:6" x14ac:dyDescent="0.25">
      <c r="E50" s="51"/>
      <c r="F50" s="51"/>
    </row>
    <row r="51" spans="5:6" x14ac:dyDescent="0.25">
      <c r="E51" s="51"/>
      <c r="F51" s="51"/>
    </row>
    <row r="52" spans="5:6" x14ac:dyDescent="0.25">
      <c r="E52" s="51"/>
      <c r="F52" s="51"/>
    </row>
    <row r="53" spans="5:6" x14ac:dyDescent="0.25">
      <c r="E53" s="51"/>
    </row>
    <row r="54" spans="5:6" x14ac:dyDescent="0.25">
      <c r="E54" s="51"/>
    </row>
    <row r="55" spans="5:6" x14ac:dyDescent="0.25">
      <c r="E55" s="51"/>
    </row>
    <row r="56" spans="5:6" x14ac:dyDescent="0.25">
      <c r="E56" s="51"/>
    </row>
    <row r="57" spans="5:6" x14ac:dyDescent="0.25">
      <c r="E57" s="51"/>
    </row>
  </sheetData>
  <autoFilter ref="A8:AS24"/>
  <mergeCells count="38">
    <mergeCell ref="AD6:AF6"/>
    <mergeCell ref="Q6:Q7"/>
    <mergeCell ref="G26:H26"/>
    <mergeCell ref="I26:J26"/>
    <mergeCell ref="K26:L26"/>
    <mergeCell ref="M26:N26"/>
    <mergeCell ref="U9:U22"/>
    <mergeCell ref="A23:B23"/>
    <mergeCell ref="S6:S7"/>
    <mergeCell ref="T6:T7"/>
    <mergeCell ref="U6:U7"/>
    <mergeCell ref="F6:F7"/>
    <mergeCell ref="G6:G7"/>
    <mergeCell ref="H6:H7"/>
    <mergeCell ref="I6:I7"/>
    <mergeCell ref="J6:J7"/>
    <mergeCell ref="L6:L7"/>
    <mergeCell ref="M6:M7"/>
    <mergeCell ref="N6:O6"/>
    <mergeCell ref="P6:P7"/>
    <mergeCell ref="R6:R7"/>
    <mergeCell ref="K6:K7"/>
    <mergeCell ref="AE1:AH1"/>
    <mergeCell ref="A2:AH2"/>
    <mergeCell ref="A3:AH3"/>
    <mergeCell ref="A5:A7"/>
    <mergeCell ref="B5:B7"/>
    <mergeCell ref="C5:C7"/>
    <mergeCell ref="D5:W5"/>
    <mergeCell ref="X5:AH5"/>
    <mergeCell ref="D6:D7"/>
    <mergeCell ref="E6:E7"/>
    <mergeCell ref="AA6:AC6"/>
    <mergeCell ref="AG6:AG7"/>
    <mergeCell ref="AH6:AH7"/>
    <mergeCell ref="V6:V7"/>
    <mergeCell ref="W6:W7"/>
    <mergeCell ref="X6:Z6"/>
  </mergeCells>
  <printOptions horizontalCentered="1"/>
  <pageMargins left="0" right="0" top="0" bottom="0" header="0.31496062992125984" footer="0.31496062992125984"/>
  <pageSetup paperSize="9" scale="35" orientation="landscape"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S105"/>
  <sheetViews>
    <sheetView view="pageBreakPreview" zoomScale="80" zoomScaleNormal="80" zoomScaleSheetLayoutView="80" workbookViewId="0">
      <pane xSplit="3" ySplit="8" topLeftCell="D45"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7.77734375" style="33" customWidth="1"/>
    <col min="2" max="2" width="30.77734375" style="22" customWidth="1"/>
    <col min="3" max="3" width="13.77734375" style="22" customWidth="1"/>
    <col min="4" max="4" width="14" style="22" customWidth="1"/>
    <col min="5" max="5" width="13" style="22" customWidth="1"/>
    <col min="6" max="6" width="14.6640625" style="22" customWidth="1"/>
    <col min="7" max="7" width="12.77734375" style="22" customWidth="1"/>
    <col min="8" max="8" width="15.77734375" style="22" customWidth="1"/>
    <col min="9" max="9" width="13.44140625" style="22" customWidth="1"/>
    <col min="10" max="10" width="16.77734375" style="22" customWidth="1"/>
    <col min="11" max="11" width="13.44140625" style="22" customWidth="1"/>
    <col min="12" max="12" width="13.33203125" style="22" customWidth="1"/>
    <col min="13" max="13" width="14" style="22" customWidth="1"/>
    <col min="14" max="14" width="11.44140625" style="22" customWidth="1"/>
    <col min="15" max="15" width="11.6640625" style="22" customWidth="1"/>
    <col min="16" max="16" width="13.33203125" style="22" customWidth="1"/>
    <col min="17" max="17" width="11.44140625" style="22" customWidth="1"/>
    <col min="18" max="18" width="13" style="22" customWidth="1"/>
    <col min="19" max="19" width="15.44140625" style="22" customWidth="1"/>
    <col min="20" max="20" width="12.33203125" style="22" customWidth="1"/>
    <col min="21" max="21" width="11.6640625" style="22" customWidth="1"/>
    <col min="22" max="22" width="14.44140625" style="22" customWidth="1"/>
    <col min="23" max="23" width="16" style="22" customWidth="1"/>
    <col min="24" max="24" width="14.109375" style="22" customWidth="1"/>
    <col min="25" max="25" width="11.109375" style="22" customWidth="1"/>
    <col min="26" max="26" width="9.77734375" style="22" customWidth="1"/>
    <col min="27" max="30" width="8.44140625" style="22" customWidth="1"/>
    <col min="31" max="31" width="15.109375" style="22" bestFit="1" customWidth="1"/>
    <col min="32" max="32" width="9.6640625" style="22" customWidth="1"/>
    <col min="33" max="33" width="9.33203125" style="22" customWidth="1"/>
    <col min="34" max="34" width="13.44140625" style="22" customWidth="1"/>
    <col min="35" max="35" width="14.44140625" style="34" customWidth="1"/>
    <col min="36" max="36" width="9.33203125" style="22"/>
    <col min="37" max="37" width="12.6640625" style="211" customWidth="1"/>
    <col min="38" max="38" width="11.6640625" style="211" hidden="1" customWidth="1"/>
    <col min="39" max="39" width="13" style="211" hidden="1" customWidth="1"/>
    <col min="40" max="40" width="14.109375" style="211" bestFit="1" customWidth="1"/>
    <col min="41" max="41" width="9.44140625" style="211" bestFit="1" customWidth="1"/>
    <col min="42" max="43" width="14.109375" style="211" bestFit="1" customWidth="1"/>
    <col min="44" max="45" width="9.44140625" style="22" bestFit="1" customWidth="1"/>
    <col min="46" max="16384" width="9.33203125" style="22"/>
  </cols>
  <sheetData>
    <row r="1" spans="1:45" ht="18" customHeight="1" x14ac:dyDescent="0.25">
      <c r="AE1" s="1534"/>
      <c r="AF1" s="1534"/>
      <c r="AG1" s="1534"/>
      <c r="AH1" s="1534"/>
    </row>
    <row r="2" spans="1:45" ht="24" customHeight="1" x14ac:dyDescent="0.25">
      <c r="A2" s="1535" t="s">
        <v>159</v>
      </c>
      <c r="B2" s="1535"/>
      <c r="C2" s="1535"/>
      <c r="D2" s="1535"/>
      <c r="E2" s="1535"/>
      <c r="F2" s="1535"/>
      <c r="G2" s="1535"/>
      <c r="H2" s="1535"/>
      <c r="I2" s="1535"/>
      <c r="J2" s="1535"/>
      <c r="K2" s="1535"/>
      <c r="L2" s="1535"/>
      <c r="M2" s="1535"/>
      <c r="N2" s="1535"/>
      <c r="O2" s="1535"/>
      <c r="P2" s="1535"/>
      <c r="Q2" s="1535"/>
      <c r="R2" s="1535"/>
      <c r="S2" s="1535"/>
      <c r="T2" s="1535"/>
      <c r="U2" s="1535"/>
      <c r="V2" s="1535"/>
      <c r="W2" s="1535"/>
      <c r="X2" s="1535"/>
      <c r="Y2" s="1535"/>
      <c r="Z2" s="1535"/>
      <c r="AA2" s="1535"/>
      <c r="AB2" s="1535"/>
      <c r="AC2" s="1535"/>
      <c r="AD2" s="1535"/>
      <c r="AE2" s="1535"/>
      <c r="AF2" s="1535"/>
      <c r="AG2" s="1535"/>
      <c r="AH2" s="1535"/>
      <c r="AI2" s="36"/>
    </row>
    <row r="3" spans="1:45" ht="24.75" customHeight="1" x14ac:dyDescent="0.25">
      <c r="A3" s="1536"/>
      <c r="B3" s="1536"/>
      <c r="C3" s="1536"/>
      <c r="D3" s="1536"/>
      <c r="E3" s="1536"/>
      <c r="F3" s="1536"/>
      <c r="G3" s="1536"/>
      <c r="H3" s="1536"/>
      <c r="I3" s="1536"/>
      <c r="J3" s="1536"/>
      <c r="K3" s="1536"/>
      <c r="L3" s="1536"/>
      <c r="M3" s="1536"/>
      <c r="N3" s="1536"/>
      <c r="O3" s="1536"/>
      <c r="P3" s="1536"/>
      <c r="Q3" s="1536"/>
      <c r="R3" s="1536"/>
      <c r="S3" s="1536"/>
      <c r="T3" s="1536"/>
      <c r="U3" s="1536"/>
      <c r="V3" s="1536"/>
      <c r="W3" s="1536"/>
      <c r="X3" s="1536"/>
      <c r="Y3" s="1536"/>
      <c r="Z3" s="1536"/>
      <c r="AA3" s="1536"/>
      <c r="AB3" s="1536"/>
      <c r="AC3" s="1536"/>
      <c r="AD3" s="1536"/>
      <c r="AE3" s="1536"/>
      <c r="AF3" s="1536"/>
      <c r="AG3" s="1536"/>
      <c r="AH3" s="1536"/>
      <c r="AI3" s="283"/>
    </row>
    <row r="4" spans="1:45" x14ac:dyDescent="0.25">
      <c r="L4" s="38">
        <v>0.33837499999999998</v>
      </c>
      <c r="V4" s="39"/>
      <c r="W4" s="39"/>
    </row>
    <row r="5" spans="1:45" ht="38.25" customHeight="1" x14ac:dyDescent="0.25">
      <c r="A5" s="1537" t="s">
        <v>78</v>
      </c>
      <c r="B5" s="1537" t="s">
        <v>77</v>
      </c>
      <c r="C5" s="1538" t="s">
        <v>0</v>
      </c>
      <c r="D5" s="1538" t="s">
        <v>3</v>
      </c>
      <c r="E5" s="1538"/>
      <c r="F5" s="1538"/>
      <c r="G5" s="1538"/>
      <c r="H5" s="1538"/>
      <c r="I5" s="1538"/>
      <c r="J5" s="1538"/>
      <c r="K5" s="1538"/>
      <c r="L5" s="1538"/>
      <c r="M5" s="1538"/>
      <c r="N5" s="1538"/>
      <c r="O5" s="1538"/>
      <c r="P5" s="1538"/>
      <c r="Q5" s="1538"/>
      <c r="R5" s="1538"/>
      <c r="S5" s="1538"/>
      <c r="T5" s="1538"/>
      <c r="U5" s="1538"/>
      <c r="V5" s="1538"/>
      <c r="W5" s="1538"/>
      <c r="X5" s="1538" t="s">
        <v>4</v>
      </c>
      <c r="Y5" s="1538"/>
      <c r="Z5" s="1538"/>
      <c r="AA5" s="1538"/>
      <c r="AB5" s="1538"/>
      <c r="AC5" s="1538"/>
      <c r="AD5" s="1538"/>
      <c r="AE5" s="1538"/>
      <c r="AF5" s="1538"/>
      <c r="AG5" s="1538"/>
      <c r="AH5" s="1538"/>
    </row>
    <row r="6" spans="1:45" ht="60" customHeight="1" x14ac:dyDescent="0.25">
      <c r="A6" s="1537"/>
      <c r="B6" s="1537"/>
      <c r="C6" s="1538"/>
      <c r="D6" s="1530" t="s">
        <v>68</v>
      </c>
      <c r="E6" s="1530" t="s">
        <v>69</v>
      </c>
      <c r="F6" s="1530" t="s">
        <v>89</v>
      </c>
      <c r="G6" s="1530" t="s">
        <v>1</v>
      </c>
      <c r="H6" s="1530" t="s">
        <v>2</v>
      </c>
      <c r="I6" s="1530" t="s">
        <v>70</v>
      </c>
      <c r="J6" s="1530" t="s">
        <v>61</v>
      </c>
      <c r="K6" s="1530" t="s">
        <v>27</v>
      </c>
      <c r="L6" s="1533" t="s">
        <v>65</v>
      </c>
      <c r="M6" s="1533" t="s">
        <v>93</v>
      </c>
      <c r="N6" s="1539" t="s">
        <v>91</v>
      </c>
      <c r="O6" s="1539"/>
      <c r="P6" s="1539" t="s">
        <v>88</v>
      </c>
      <c r="Q6" s="1533" t="s">
        <v>82</v>
      </c>
      <c r="R6" s="1530" t="s">
        <v>83</v>
      </c>
      <c r="S6" s="1533" t="s">
        <v>87</v>
      </c>
      <c r="T6" s="1530" t="s">
        <v>84</v>
      </c>
      <c r="U6" s="1530" t="s">
        <v>9</v>
      </c>
      <c r="V6" s="1530" t="s">
        <v>7</v>
      </c>
      <c r="W6" s="1530" t="s">
        <v>85</v>
      </c>
      <c r="X6" s="1538" t="s">
        <v>10</v>
      </c>
      <c r="Y6" s="1538"/>
      <c r="Z6" s="1538"/>
      <c r="AA6" s="1538" t="s">
        <v>11</v>
      </c>
      <c r="AB6" s="1538"/>
      <c r="AC6" s="1538"/>
      <c r="AD6" s="1538" t="s">
        <v>12</v>
      </c>
      <c r="AE6" s="1538"/>
      <c r="AF6" s="1538"/>
      <c r="AG6" s="1538" t="s">
        <v>13</v>
      </c>
      <c r="AH6" s="1538" t="s">
        <v>73</v>
      </c>
    </row>
    <row r="7" spans="1:45" ht="97.5" customHeight="1" x14ac:dyDescent="0.25">
      <c r="A7" s="1537"/>
      <c r="B7" s="1537"/>
      <c r="C7" s="1538"/>
      <c r="D7" s="1530"/>
      <c r="E7" s="1530"/>
      <c r="F7" s="1530"/>
      <c r="G7" s="1530"/>
      <c r="H7" s="1530"/>
      <c r="I7" s="1530"/>
      <c r="J7" s="1530"/>
      <c r="K7" s="1530"/>
      <c r="L7" s="1533" t="s">
        <v>66</v>
      </c>
      <c r="M7" s="1533"/>
      <c r="N7" s="281" t="s">
        <v>80</v>
      </c>
      <c r="O7" s="281" t="s">
        <v>81</v>
      </c>
      <c r="P7" s="1539"/>
      <c r="Q7" s="1533"/>
      <c r="R7" s="1530"/>
      <c r="S7" s="1533" t="s">
        <v>67</v>
      </c>
      <c r="T7" s="1530"/>
      <c r="U7" s="1530"/>
      <c r="V7" s="1530"/>
      <c r="W7" s="1530"/>
      <c r="X7" s="280" t="s">
        <v>5</v>
      </c>
      <c r="Y7" s="280" t="s">
        <v>6</v>
      </c>
      <c r="Z7" s="280" t="s">
        <v>74</v>
      </c>
      <c r="AA7" s="280" t="s">
        <v>5</v>
      </c>
      <c r="AB7" s="280" t="s">
        <v>6</v>
      </c>
      <c r="AC7" s="280" t="s">
        <v>75</v>
      </c>
      <c r="AD7" s="280" t="s">
        <v>5</v>
      </c>
      <c r="AE7" s="280" t="s">
        <v>6</v>
      </c>
      <c r="AF7" s="280" t="s">
        <v>76</v>
      </c>
      <c r="AG7" s="1538"/>
      <c r="AH7" s="1538"/>
      <c r="AK7" s="211" t="s">
        <v>64</v>
      </c>
      <c r="AL7" s="211" t="s">
        <v>62</v>
      </c>
      <c r="AM7" s="70" t="s">
        <v>71</v>
      </c>
    </row>
    <row r="8" spans="1:45" x14ac:dyDescent="0.25">
      <c r="A8" s="278">
        <v>1</v>
      </c>
      <c r="B8" s="278">
        <v>2</v>
      </c>
      <c r="C8" s="278">
        <v>3</v>
      </c>
      <c r="D8" s="278">
        <v>4</v>
      </c>
      <c r="E8" s="278">
        <v>5</v>
      </c>
      <c r="F8" s="278">
        <v>6</v>
      </c>
      <c r="G8" s="278">
        <v>7</v>
      </c>
      <c r="H8" s="278">
        <v>8</v>
      </c>
      <c r="I8" s="278">
        <v>9</v>
      </c>
      <c r="J8" s="278">
        <v>10</v>
      </c>
      <c r="K8" s="278">
        <v>11</v>
      </c>
      <c r="L8" s="278">
        <v>12</v>
      </c>
      <c r="M8" s="278">
        <v>13</v>
      </c>
      <c r="N8" s="278">
        <v>14</v>
      </c>
      <c r="O8" s="278">
        <v>15</v>
      </c>
      <c r="P8" s="278">
        <v>16</v>
      </c>
      <c r="Q8" s="278">
        <v>17</v>
      </c>
      <c r="R8" s="278">
        <v>18</v>
      </c>
      <c r="S8" s="278">
        <v>19</v>
      </c>
      <c r="T8" s="278">
        <v>20</v>
      </c>
      <c r="U8" s="278">
        <v>21</v>
      </c>
      <c r="V8" s="278">
        <v>22</v>
      </c>
      <c r="W8" s="278">
        <v>23</v>
      </c>
      <c r="X8" s="278">
        <v>24</v>
      </c>
      <c r="Y8" s="278">
        <v>25</v>
      </c>
      <c r="Z8" s="278">
        <v>26</v>
      </c>
      <c r="AA8" s="278">
        <v>27</v>
      </c>
      <c r="AB8" s="278">
        <v>28</v>
      </c>
      <c r="AC8" s="278">
        <v>29</v>
      </c>
      <c r="AD8" s="278">
        <v>30</v>
      </c>
      <c r="AE8" s="278">
        <v>31</v>
      </c>
      <c r="AF8" s="278">
        <v>32</v>
      </c>
      <c r="AG8" s="278">
        <v>33</v>
      </c>
      <c r="AH8" s="278">
        <v>34</v>
      </c>
      <c r="AN8" s="212" t="s">
        <v>116</v>
      </c>
      <c r="AO8" s="212" t="s">
        <v>117</v>
      </c>
      <c r="AP8" s="212" t="s">
        <v>118</v>
      </c>
      <c r="AQ8" s="212" t="s">
        <v>119</v>
      </c>
    </row>
    <row r="9" spans="1:45" ht="16.5" customHeight="1" x14ac:dyDescent="0.25">
      <c r="A9" s="278">
        <v>1</v>
      </c>
      <c r="B9" s="44" t="s">
        <v>14</v>
      </c>
      <c r="C9" s="278">
        <v>1</v>
      </c>
      <c r="D9" s="213">
        <v>25.596</v>
      </c>
      <c r="E9" s="214">
        <f>C9*D9</f>
        <v>25.6</v>
      </c>
      <c r="F9" s="215">
        <f>E9*12</f>
        <v>307.2</v>
      </c>
      <c r="G9" s="154"/>
      <c r="H9" s="154"/>
      <c r="I9" s="154"/>
      <c r="J9" s="154"/>
      <c r="K9" s="154">
        <f>F9*0.4</f>
        <v>122.9</v>
      </c>
      <c r="L9" s="154">
        <f>F9*$L$4</f>
        <v>103.9</v>
      </c>
      <c r="M9" s="154">
        <f>F9+G9+H9+I9+J9+K9+L9</f>
        <v>534</v>
      </c>
      <c r="N9" s="171">
        <v>0.98</v>
      </c>
      <c r="O9" s="154">
        <f>M9*N9</f>
        <v>523.29999999999995</v>
      </c>
      <c r="P9" s="154">
        <f>M9+O9</f>
        <v>1057.3</v>
      </c>
      <c r="Q9" s="154">
        <f>P9*0.8</f>
        <v>845.8</v>
      </c>
      <c r="R9" s="154">
        <f>P9*0.8</f>
        <v>845.8</v>
      </c>
      <c r="S9" s="154">
        <f>(P9+Q9+R9)*0.032</f>
        <v>88</v>
      </c>
      <c r="T9" s="154">
        <f>P9+Q9+R9+S9</f>
        <v>2836.9</v>
      </c>
      <c r="U9" s="1531">
        <v>1</v>
      </c>
      <c r="V9" s="154">
        <f>T9*$U$9</f>
        <v>2836.9</v>
      </c>
      <c r="W9" s="154">
        <f>AQ9</f>
        <v>597.20000000000005</v>
      </c>
      <c r="X9" s="278">
        <v>1</v>
      </c>
      <c r="Y9" s="24">
        <v>30</v>
      </c>
      <c r="Z9" s="48">
        <f>X9*Y9</f>
        <v>30</v>
      </c>
      <c r="AA9" s="278"/>
      <c r="AB9" s="24">
        <v>15</v>
      </c>
      <c r="AC9" s="48">
        <f>AA9*AB9</f>
        <v>0</v>
      </c>
      <c r="AD9" s="278"/>
      <c r="AE9" s="24">
        <v>30</v>
      </c>
      <c r="AF9" s="48">
        <f>AD9*AE9</f>
        <v>0</v>
      </c>
      <c r="AG9" s="278">
        <f t="shared" ref="AG9:AG51" si="0">(Z9+AC9+AF9)*1%*30</f>
        <v>9</v>
      </c>
      <c r="AH9" s="48">
        <f t="shared" ref="AH9:AH27" si="1">Z9+AC9+AF9+AG9</f>
        <v>39</v>
      </c>
      <c r="AI9" s="34">
        <f t="shared" ref="AI9:AI36" si="2">V9/12/C9*1000</f>
        <v>236408.3</v>
      </c>
      <c r="AJ9" s="34"/>
      <c r="AK9" s="216">
        <f t="shared" ref="AK9:AK41" si="3">V9/C9</f>
        <v>2836.9</v>
      </c>
      <c r="AL9" s="216">
        <f>((979*0.302)+((AK9-979)*0.182))</f>
        <v>633.79999999999995</v>
      </c>
      <c r="AM9" s="217">
        <f>AL9/AK9</f>
        <v>0.223</v>
      </c>
      <c r="AN9" s="50">
        <f>1150*0.22*C9+(V9-1150*C9)*0.1</f>
        <v>421.7</v>
      </c>
      <c r="AO9" s="50">
        <f>865*0.029</f>
        <v>25.1</v>
      </c>
      <c r="AP9" s="50">
        <f>V9*0.053</f>
        <v>150.4</v>
      </c>
      <c r="AQ9" s="50">
        <f>SUM(AN9:AP9)</f>
        <v>597.20000000000005</v>
      </c>
      <c r="AS9" s="66"/>
    </row>
    <row r="10" spans="1:45" x14ac:dyDescent="0.25">
      <c r="A10" s="278">
        <v>2</v>
      </c>
      <c r="B10" s="44" t="s">
        <v>125</v>
      </c>
      <c r="C10" s="278">
        <v>1</v>
      </c>
      <c r="D10" s="177">
        <v>17.917000000000002</v>
      </c>
      <c r="E10" s="214">
        <f>C10*D10</f>
        <v>17.920000000000002</v>
      </c>
      <c r="F10" s="215">
        <f>E10*12</f>
        <v>215</v>
      </c>
      <c r="G10" s="154"/>
      <c r="H10" s="154">
        <v>8.6999999999999993</v>
      </c>
      <c r="I10" s="154"/>
      <c r="J10" s="154"/>
      <c r="K10" s="154">
        <f>F10*0.4</f>
        <v>86</v>
      </c>
      <c r="L10" s="154">
        <f t="shared" ref="L10:L51" si="4">F10*$L$4</f>
        <v>72.8</v>
      </c>
      <c r="M10" s="154">
        <f>F10+G10+H10+I10+J10+K10+L10</f>
        <v>382.5</v>
      </c>
      <c r="N10" s="171">
        <v>0.47</v>
      </c>
      <c r="O10" s="154">
        <f>M10*N10</f>
        <v>179.8</v>
      </c>
      <c r="P10" s="154">
        <f>M10+O10</f>
        <v>562.29999999999995</v>
      </c>
      <c r="Q10" s="154">
        <f>P10*0.8</f>
        <v>449.8</v>
      </c>
      <c r="R10" s="154">
        <f>P10*0.8</f>
        <v>449.8</v>
      </c>
      <c r="S10" s="154">
        <f>(P10+Q10+R10)*0.032</f>
        <v>46.8</v>
      </c>
      <c r="T10" s="154">
        <f>P10+Q10+R10+S10</f>
        <v>1508.7</v>
      </c>
      <c r="U10" s="1532"/>
      <c r="V10" s="154">
        <f t="shared" ref="V10:V50" si="5">T10*$U$9</f>
        <v>1508.7</v>
      </c>
      <c r="W10" s="154">
        <f>AQ10</f>
        <v>394</v>
      </c>
      <c r="X10" s="278"/>
      <c r="Y10" s="24">
        <v>30</v>
      </c>
      <c r="Z10" s="48">
        <f>X10*Y10</f>
        <v>0</v>
      </c>
      <c r="AA10" s="278"/>
      <c r="AB10" s="24">
        <v>15</v>
      </c>
      <c r="AC10" s="48">
        <f>AA10*AB10</f>
        <v>0</v>
      </c>
      <c r="AD10" s="278"/>
      <c r="AE10" s="24">
        <v>30</v>
      </c>
      <c r="AF10" s="48">
        <f>AD10*AE10</f>
        <v>0</v>
      </c>
      <c r="AG10" s="278">
        <f t="shared" si="0"/>
        <v>0</v>
      </c>
      <c r="AH10" s="48">
        <f t="shared" si="1"/>
        <v>0</v>
      </c>
      <c r="AI10" s="34">
        <f t="shared" si="2"/>
        <v>125725</v>
      </c>
      <c r="AJ10" s="34"/>
      <c r="AK10" s="216">
        <f t="shared" si="3"/>
        <v>1508.7</v>
      </c>
      <c r="AL10" s="216">
        <f t="shared" ref="AL10:AL41" si="6">((979*0.302)+((AK10-979)*0.182))</f>
        <v>392.1</v>
      </c>
      <c r="AM10" s="217">
        <f>AL10/AK10</f>
        <v>0.26</v>
      </c>
      <c r="AN10" s="50">
        <f>1150*0.22*C10+(V10-1150*C10)*0.1</f>
        <v>288.89999999999998</v>
      </c>
      <c r="AO10" s="50">
        <f>865*0.029</f>
        <v>25.1</v>
      </c>
      <c r="AP10" s="50">
        <f>V10*0.053</f>
        <v>80</v>
      </c>
      <c r="AQ10" s="50">
        <f t="shared" ref="AQ10:AQ52" si="7">SUM(AN10:AP10)</f>
        <v>394</v>
      </c>
      <c r="AS10" s="66"/>
    </row>
    <row r="11" spans="1:45" x14ac:dyDescent="0.25">
      <c r="A11" s="278">
        <v>3</v>
      </c>
      <c r="B11" s="44" t="s">
        <v>125</v>
      </c>
      <c r="C11" s="278">
        <v>1</v>
      </c>
      <c r="D11" s="177">
        <v>17.917000000000002</v>
      </c>
      <c r="E11" s="214">
        <f>C11*D11</f>
        <v>17.920000000000002</v>
      </c>
      <c r="F11" s="215">
        <f>E11*12</f>
        <v>215</v>
      </c>
      <c r="G11" s="154"/>
      <c r="H11" s="154">
        <v>7.9</v>
      </c>
      <c r="I11" s="154"/>
      <c r="J11" s="154"/>
      <c r="K11" s="154">
        <f>F11*0.25</f>
        <v>53.8</v>
      </c>
      <c r="L11" s="154">
        <f t="shared" si="4"/>
        <v>72.8</v>
      </c>
      <c r="M11" s="154">
        <f>F11+G11+H11+I11+J11+K11+L11</f>
        <v>349.5</v>
      </c>
      <c r="N11" s="171">
        <v>0.47</v>
      </c>
      <c r="O11" s="154">
        <f>M11*N11</f>
        <v>164.3</v>
      </c>
      <c r="P11" s="154">
        <f>M11+O11</f>
        <v>513.79999999999995</v>
      </c>
      <c r="Q11" s="154">
        <f>P11*0.8</f>
        <v>411</v>
      </c>
      <c r="R11" s="154">
        <f>P11*0.8</f>
        <v>411</v>
      </c>
      <c r="S11" s="154">
        <f>(P11+Q11+R11)*0.032</f>
        <v>42.7</v>
      </c>
      <c r="T11" s="154">
        <f>P11+Q11+R11+S11</f>
        <v>1378.5</v>
      </c>
      <c r="U11" s="1532"/>
      <c r="V11" s="154">
        <f t="shared" si="5"/>
        <v>1378.5</v>
      </c>
      <c r="W11" s="154">
        <f>AQ11</f>
        <v>374.1</v>
      </c>
      <c r="X11" s="278">
        <v>1</v>
      </c>
      <c r="Y11" s="24">
        <v>30</v>
      </c>
      <c r="Z11" s="48">
        <f>X11*Y11</f>
        <v>30</v>
      </c>
      <c r="AA11" s="278"/>
      <c r="AB11" s="24">
        <v>15</v>
      </c>
      <c r="AC11" s="48">
        <f>AA11*AB11</f>
        <v>0</v>
      </c>
      <c r="AD11" s="278"/>
      <c r="AE11" s="24">
        <v>30</v>
      </c>
      <c r="AF11" s="48">
        <f>AD11*AE11</f>
        <v>0</v>
      </c>
      <c r="AG11" s="278">
        <f t="shared" si="0"/>
        <v>9</v>
      </c>
      <c r="AH11" s="48">
        <f t="shared" si="1"/>
        <v>39</v>
      </c>
      <c r="AI11" s="34">
        <f t="shared" si="2"/>
        <v>114875</v>
      </c>
      <c r="AJ11" s="34"/>
      <c r="AK11" s="216">
        <f t="shared" si="3"/>
        <v>1378.5</v>
      </c>
      <c r="AL11" s="216">
        <f t="shared" si="6"/>
        <v>368.4</v>
      </c>
      <c r="AM11" s="217">
        <f>AL11/AK11</f>
        <v>0.26700000000000002</v>
      </c>
      <c r="AN11" s="50">
        <f>1150*0.22*C11+(V11-1150*C11)*0.1</f>
        <v>275.89999999999998</v>
      </c>
      <c r="AO11" s="50">
        <f>865*0.029</f>
        <v>25.1</v>
      </c>
      <c r="AP11" s="50">
        <f>V11*0.053</f>
        <v>73.099999999999994</v>
      </c>
      <c r="AQ11" s="50">
        <f t="shared" si="7"/>
        <v>374.1</v>
      </c>
      <c r="AS11" s="66"/>
    </row>
    <row r="12" spans="1:45" x14ac:dyDescent="0.25">
      <c r="A12" s="278">
        <v>4</v>
      </c>
      <c r="B12" s="44" t="s">
        <v>125</v>
      </c>
      <c r="C12" s="278">
        <v>1</v>
      </c>
      <c r="D12" s="177">
        <v>17.917000000000002</v>
      </c>
      <c r="E12" s="214">
        <f>C12*D12</f>
        <v>17.920000000000002</v>
      </c>
      <c r="F12" s="215">
        <f>E12*12</f>
        <v>215</v>
      </c>
      <c r="G12" s="154"/>
      <c r="H12" s="154"/>
      <c r="I12" s="154"/>
      <c r="J12" s="154"/>
      <c r="K12" s="154"/>
      <c r="L12" s="154">
        <f t="shared" si="4"/>
        <v>72.8</v>
      </c>
      <c r="M12" s="154">
        <f>F12+G12+H12+I12+J12+K12+L12</f>
        <v>287.8</v>
      </c>
      <c r="N12" s="171">
        <v>0.47</v>
      </c>
      <c r="O12" s="154">
        <f>M12*N12</f>
        <v>135.30000000000001</v>
      </c>
      <c r="P12" s="154">
        <f>M12+O12</f>
        <v>423.1</v>
      </c>
      <c r="Q12" s="154">
        <f>P12*0.8</f>
        <v>338.5</v>
      </c>
      <c r="R12" s="154">
        <f>P12*0.8</f>
        <v>338.5</v>
      </c>
      <c r="S12" s="154">
        <f>(P12+Q12+R12)*0.032</f>
        <v>35.200000000000003</v>
      </c>
      <c r="T12" s="154">
        <f>P12+Q12+R12+S12</f>
        <v>1135.3</v>
      </c>
      <c r="U12" s="1532"/>
      <c r="V12" s="154">
        <f t="shared" si="5"/>
        <v>1135.3</v>
      </c>
      <c r="W12" s="154">
        <f>AQ12</f>
        <v>336.8</v>
      </c>
      <c r="X12" s="278">
        <v>1</v>
      </c>
      <c r="Y12" s="24">
        <v>30</v>
      </c>
      <c r="Z12" s="48">
        <f>X12*Y12</f>
        <v>30</v>
      </c>
      <c r="AA12" s="278">
        <v>2</v>
      </c>
      <c r="AB12" s="24">
        <v>15</v>
      </c>
      <c r="AC12" s="48">
        <f>AA12*AB12</f>
        <v>30</v>
      </c>
      <c r="AD12" s="278">
        <v>1</v>
      </c>
      <c r="AE12" s="24">
        <v>30</v>
      </c>
      <c r="AF12" s="48">
        <f>AD12*AE12</f>
        <v>30</v>
      </c>
      <c r="AG12" s="278">
        <f t="shared" si="0"/>
        <v>27</v>
      </c>
      <c r="AH12" s="48">
        <f t="shared" si="1"/>
        <v>117</v>
      </c>
      <c r="AI12" s="34">
        <f t="shared" si="2"/>
        <v>94608.3</v>
      </c>
      <c r="AJ12" s="34"/>
      <c r="AK12" s="216">
        <f t="shared" si="3"/>
        <v>1135.3</v>
      </c>
      <c r="AL12" s="216">
        <f t="shared" si="6"/>
        <v>324.10000000000002</v>
      </c>
      <c r="AM12" s="217">
        <f>AL12/AK12</f>
        <v>0.28499999999999998</v>
      </c>
      <c r="AN12" s="50">
        <f>1150*0.22*C12+(V12-1150*C12)*0.1</f>
        <v>251.5</v>
      </c>
      <c r="AO12" s="50">
        <f>865*0.029</f>
        <v>25.1</v>
      </c>
      <c r="AP12" s="50">
        <f>AK12*0.053</f>
        <v>60.2</v>
      </c>
      <c r="AQ12" s="50">
        <f>SUM(AN12:AP12)*C12</f>
        <v>336.8</v>
      </c>
      <c r="AS12" s="66"/>
    </row>
    <row r="13" spans="1:45" ht="14.25" customHeight="1" x14ac:dyDescent="0.25">
      <c r="A13" s="278">
        <v>5</v>
      </c>
      <c r="B13" s="218" t="s">
        <v>16</v>
      </c>
      <c r="C13" s="278">
        <v>7</v>
      </c>
      <c r="D13" s="177">
        <v>11.061999999999999</v>
      </c>
      <c r="E13" s="171">
        <f t="shared" ref="E13:E19" si="8">C13*D13</f>
        <v>77.430000000000007</v>
      </c>
      <c r="F13" s="154">
        <f t="shared" ref="F13:F19" si="9">E13*12</f>
        <v>929.2</v>
      </c>
      <c r="G13" s="154"/>
      <c r="H13" s="154">
        <f>0.539+1.617+0.539+2.696+1.078</f>
        <v>6.5</v>
      </c>
      <c r="I13" s="154"/>
      <c r="J13" s="154"/>
      <c r="K13" s="154">
        <f>D13*0.2*12+D13*0.25*4*12+D13*0.4*2</f>
        <v>168.1</v>
      </c>
      <c r="L13" s="154">
        <f t="shared" si="4"/>
        <v>314.39999999999998</v>
      </c>
      <c r="M13" s="154">
        <f t="shared" ref="M13:M19" si="10">F13+G13+H13+I13+J13+K13+L13</f>
        <v>1418.2</v>
      </c>
      <c r="N13" s="171">
        <v>0.43</v>
      </c>
      <c r="O13" s="154">
        <f t="shared" ref="O13:O19" si="11">M13*N13</f>
        <v>609.79999999999995</v>
      </c>
      <c r="P13" s="154">
        <f t="shared" ref="P13:P19" si="12">M13+O13</f>
        <v>2028</v>
      </c>
      <c r="Q13" s="154">
        <f t="shared" ref="Q13:Q19" si="13">P13*0.8</f>
        <v>1622.4</v>
      </c>
      <c r="R13" s="154">
        <f t="shared" ref="R13:R19" si="14">P13*0.8</f>
        <v>1622.4</v>
      </c>
      <c r="S13" s="154">
        <f t="shared" ref="S13:S19" si="15">(P13+Q13+R13)*0.032</f>
        <v>168.7</v>
      </c>
      <c r="T13" s="154">
        <f t="shared" ref="T13:T19" si="16">P13+Q13+R13+S13</f>
        <v>5441.5</v>
      </c>
      <c r="U13" s="1532"/>
      <c r="V13" s="154">
        <f t="shared" si="5"/>
        <v>5441.5</v>
      </c>
      <c r="W13" s="154">
        <f>V13*0.302</f>
        <v>1643.3</v>
      </c>
      <c r="X13" s="54">
        <v>4</v>
      </c>
      <c r="Y13" s="24">
        <v>30</v>
      </c>
      <c r="Z13" s="48">
        <f t="shared" ref="Z13:Z19" si="17">X13*Y13</f>
        <v>120</v>
      </c>
      <c r="AA13" s="54">
        <v>1</v>
      </c>
      <c r="AB13" s="24">
        <v>15</v>
      </c>
      <c r="AC13" s="48">
        <f t="shared" ref="AC13:AC19" si="18">AA13*AB13</f>
        <v>15</v>
      </c>
      <c r="AD13" s="54"/>
      <c r="AE13" s="24">
        <v>30</v>
      </c>
      <c r="AF13" s="48">
        <f t="shared" ref="AF13:AF19" si="19">AD13*AE13</f>
        <v>0</v>
      </c>
      <c r="AG13" s="278">
        <f t="shared" si="0"/>
        <v>40.5</v>
      </c>
      <c r="AH13" s="48">
        <f t="shared" si="1"/>
        <v>175.5</v>
      </c>
      <c r="AI13" s="34">
        <f t="shared" si="2"/>
        <v>64779.8</v>
      </c>
      <c r="AJ13" s="34"/>
      <c r="AK13" s="216">
        <f t="shared" si="3"/>
        <v>777.4</v>
      </c>
      <c r="AL13" s="216">
        <f t="shared" si="6"/>
        <v>259</v>
      </c>
      <c r="AM13" s="217">
        <v>0.30199999999999999</v>
      </c>
      <c r="AN13" s="50"/>
      <c r="AQ13" s="50">
        <f t="shared" si="7"/>
        <v>0</v>
      </c>
      <c r="AS13" s="66"/>
    </row>
    <row r="14" spans="1:45" x14ac:dyDescent="0.25">
      <c r="A14" s="278">
        <v>6</v>
      </c>
      <c r="B14" s="218" t="s">
        <v>16</v>
      </c>
      <c r="C14" s="278">
        <v>1</v>
      </c>
      <c r="D14" s="177">
        <v>11.061999999999999</v>
      </c>
      <c r="E14" s="171">
        <f>C14*D14</f>
        <v>11.06</v>
      </c>
      <c r="F14" s="154">
        <f t="shared" si="9"/>
        <v>132.69999999999999</v>
      </c>
      <c r="G14" s="154"/>
      <c r="H14" s="34">
        <f>5.4+1.617</f>
        <v>7</v>
      </c>
      <c r="I14" s="154"/>
      <c r="J14" s="154"/>
      <c r="K14" s="154">
        <f>F14*0.4</f>
        <v>53.1</v>
      </c>
      <c r="L14" s="154">
        <f t="shared" si="4"/>
        <v>44.9</v>
      </c>
      <c r="M14" s="154">
        <f t="shared" si="10"/>
        <v>237.7</v>
      </c>
      <c r="N14" s="171">
        <v>0.43</v>
      </c>
      <c r="O14" s="154">
        <f t="shared" si="11"/>
        <v>102.2</v>
      </c>
      <c r="P14" s="154">
        <f t="shared" si="12"/>
        <v>339.9</v>
      </c>
      <c r="Q14" s="154">
        <f t="shared" si="13"/>
        <v>271.89999999999998</v>
      </c>
      <c r="R14" s="154">
        <f t="shared" si="14"/>
        <v>271.89999999999998</v>
      </c>
      <c r="S14" s="154">
        <f t="shared" si="15"/>
        <v>28.3</v>
      </c>
      <c r="T14" s="154">
        <f t="shared" si="16"/>
        <v>912</v>
      </c>
      <c r="U14" s="1532"/>
      <c r="V14" s="154">
        <f t="shared" si="5"/>
        <v>912</v>
      </c>
      <c r="W14" s="154">
        <f>AQ14</f>
        <v>274</v>
      </c>
      <c r="X14" s="54">
        <v>1</v>
      </c>
      <c r="Y14" s="24">
        <v>30</v>
      </c>
      <c r="Z14" s="48">
        <f t="shared" si="17"/>
        <v>30</v>
      </c>
      <c r="AA14" s="54"/>
      <c r="AB14" s="24">
        <v>15</v>
      </c>
      <c r="AC14" s="48">
        <f t="shared" si="18"/>
        <v>0</v>
      </c>
      <c r="AD14" s="54"/>
      <c r="AE14" s="24">
        <v>30</v>
      </c>
      <c r="AF14" s="48">
        <f>AD14*AE14</f>
        <v>0</v>
      </c>
      <c r="AG14" s="278">
        <f t="shared" si="0"/>
        <v>9</v>
      </c>
      <c r="AH14" s="48">
        <f t="shared" si="1"/>
        <v>39</v>
      </c>
      <c r="AI14" s="34">
        <f t="shared" si="2"/>
        <v>76000</v>
      </c>
      <c r="AJ14" s="34"/>
      <c r="AK14" s="216">
        <f t="shared" si="3"/>
        <v>912</v>
      </c>
      <c r="AL14" s="216">
        <f t="shared" si="6"/>
        <v>283.5</v>
      </c>
      <c r="AM14" s="217">
        <f>AL14/AK14</f>
        <v>0.311</v>
      </c>
      <c r="AN14" s="50">
        <f>AK14*0.22</f>
        <v>200.6</v>
      </c>
      <c r="AO14" s="50">
        <f>865*0.029</f>
        <v>25.1</v>
      </c>
      <c r="AP14" s="50">
        <f>AK14*0.053</f>
        <v>48.3</v>
      </c>
      <c r="AQ14" s="50">
        <f>SUM(AN14:AP14)*C14</f>
        <v>274</v>
      </c>
      <c r="AS14" s="66"/>
    </row>
    <row r="15" spans="1:45" ht="26.4" x14ac:dyDescent="0.25">
      <c r="A15" s="278">
        <v>8</v>
      </c>
      <c r="B15" s="218" t="s">
        <v>45</v>
      </c>
      <c r="C15" s="278">
        <v>1</v>
      </c>
      <c r="D15" s="177">
        <v>11.061999999999999</v>
      </c>
      <c r="E15" s="171">
        <f t="shared" si="8"/>
        <v>11.06</v>
      </c>
      <c r="F15" s="154">
        <f t="shared" si="9"/>
        <v>132.69999999999999</v>
      </c>
      <c r="G15" s="154"/>
      <c r="H15" s="154">
        <v>2.4</v>
      </c>
      <c r="I15" s="154"/>
      <c r="J15" s="154"/>
      <c r="K15" s="154">
        <f>F15*0.4</f>
        <v>53.1</v>
      </c>
      <c r="L15" s="154">
        <f t="shared" si="4"/>
        <v>44.9</v>
      </c>
      <c r="M15" s="154">
        <f t="shared" si="10"/>
        <v>233.1</v>
      </c>
      <c r="N15" s="171">
        <v>0.43</v>
      </c>
      <c r="O15" s="154">
        <f t="shared" si="11"/>
        <v>100.2</v>
      </c>
      <c r="P15" s="154">
        <f t="shared" si="12"/>
        <v>333.3</v>
      </c>
      <c r="Q15" s="154">
        <f t="shared" si="13"/>
        <v>266.60000000000002</v>
      </c>
      <c r="R15" s="154">
        <f t="shared" si="14"/>
        <v>266.60000000000002</v>
      </c>
      <c r="S15" s="154">
        <f t="shared" si="15"/>
        <v>27.7</v>
      </c>
      <c r="T15" s="154">
        <f t="shared" si="16"/>
        <v>894.2</v>
      </c>
      <c r="U15" s="1532"/>
      <c r="V15" s="154">
        <f t="shared" si="5"/>
        <v>894.2</v>
      </c>
      <c r="W15" s="154">
        <f>AQ15</f>
        <v>269.2</v>
      </c>
      <c r="X15" s="54"/>
      <c r="Y15" s="24">
        <v>30</v>
      </c>
      <c r="Z15" s="48">
        <f t="shared" si="17"/>
        <v>0</v>
      </c>
      <c r="AA15" s="54"/>
      <c r="AB15" s="24">
        <v>15</v>
      </c>
      <c r="AC15" s="48">
        <f t="shared" si="18"/>
        <v>0</v>
      </c>
      <c r="AD15" s="54"/>
      <c r="AE15" s="24">
        <v>30</v>
      </c>
      <c r="AF15" s="48">
        <f t="shared" si="19"/>
        <v>0</v>
      </c>
      <c r="AG15" s="278">
        <f t="shared" si="0"/>
        <v>0</v>
      </c>
      <c r="AH15" s="48">
        <f t="shared" si="1"/>
        <v>0</v>
      </c>
      <c r="AI15" s="34">
        <f t="shared" si="2"/>
        <v>74516.7</v>
      </c>
      <c r="AJ15" s="34"/>
      <c r="AK15" s="216">
        <f t="shared" si="3"/>
        <v>894.2</v>
      </c>
      <c r="AL15" s="216">
        <f t="shared" si="6"/>
        <v>280.2</v>
      </c>
      <c r="AM15" s="217">
        <v>0.30199999999999999</v>
      </c>
      <c r="AN15" s="50">
        <f>AK15*0.22</f>
        <v>196.7</v>
      </c>
      <c r="AO15" s="50">
        <f>865*0.029</f>
        <v>25.1</v>
      </c>
      <c r="AP15" s="50">
        <f>AK15*0.053</f>
        <v>47.4</v>
      </c>
      <c r="AQ15" s="50">
        <f t="shared" si="7"/>
        <v>269.2</v>
      </c>
      <c r="AS15" s="66"/>
    </row>
    <row r="16" spans="1:45" ht="26.4" x14ac:dyDescent="0.25">
      <c r="A16" s="278">
        <v>9</v>
      </c>
      <c r="B16" s="218" t="s">
        <v>46</v>
      </c>
      <c r="C16" s="278">
        <v>1</v>
      </c>
      <c r="D16" s="177">
        <v>11.061999999999999</v>
      </c>
      <c r="E16" s="171">
        <f t="shared" si="8"/>
        <v>11.06</v>
      </c>
      <c r="F16" s="154">
        <f t="shared" si="9"/>
        <v>132.69999999999999</v>
      </c>
      <c r="G16" s="154"/>
      <c r="H16" s="154">
        <v>2.4</v>
      </c>
      <c r="I16" s="154"/>
      <c r="J16" s="154"/>
      <c r="K16" s="154">
        <f>F16*0.4</f>
        <v>53.1</v>
      </c>
      <c r="L16" s="154">
        <f t="shared" si="4"/>
        <v>44.9</v>
      </c>
      <c r="M16" s="154">
        <f t="shared" si="10"/>
        <v>233.1</v>
      </c>
      <c r="N16" s="171">
        <v>0.43</v>
      </c>
      <c r="O16" s="154">
        <f t="shared" si="11"/>
        <v>100.2</v>
      </c>
      <c r="P16" s="154">
        <f t="shared" si="12"/>
        <v>333.3</v>
      </c>
      <c r="Q16" s="154">
        <f t="shared" si="13"/>
        <v>266.60000000000002</v>
      </c>
      <c r="R16" s="154">
        <f t="shared" si="14"/>
        <v>266.60000000000002</v>
      </c>
      <c r="S16" s="154">
        <f t="shared" si="15"/>
        <v>27.7</v>
      </c>
      <c r="T16" s="154">
        <f t="shared" si="16"/>
        <v>894.2</v>
      </c>
      <c r="U16" s="1532"/>
      <c r="V16" s="154">
        <f t="shared" si="5"/>
        <v>894.2</v>
      </c>
      <c r="W16" s="154">
        <f>AQ16</f>
        <v>269.2</v>
      </c>
      <c r="X16" s="54">
        <v>1</v>
      </c>
      <c r="Y16" s="24">
        <v>30</v>
      </c>
      <c r="Z16" s="48">
        <f t="shared" si="17"/>
        <v>30</v>
      </c>
      <c r="AA16" s="54">
        <v>1</v>
      </c>
      <c r="AB16" s="24">
        <v>15</v>
      </c>
      <c r="AC16" s="48">
        <f t="shared" si="18"/>
        <v>15</v>
      </c>
      <c r="AD16" s="54">
        <v>1</v>
      </c>
      <c r="AE16" s="24">
        <v>30</v>
      </c>
      <c r="AF16" s="48">
        <f t="shared" si="19"/>
        <v>30</v>
      </c>
      <c r="AG16" s="278">
        <f t="shared" si="0"/>
        <v>22.5</v>
      </c>
      <c r="AH16" s="48">
        <f t="shared" si="1"/>
        <v>97.5</v>
      </c>
      <c r="AI16" s="34">
        <f t="shared" si="2"/>
        <v>74516.7</v>
      </c>
      <c r="AJ16" s="34"/>
      <c r="AK16" s="216">
        <f t="shared" si="3"/>
        <v>894.2</v>
      </c>
      <c r="AL16" s="216">
        <f t="shared" si="6"/>
        <v>280.2</v>
      </c>
      <c r="AM16" s="217">
        <f>AL16/AK16</f>
        <v>0.313</v>
      </c>
      <c r="AN16" s="50">
        <f>AK16*0.22</f>
        <v>196.7</v>
      </c>
      <c r="AO16" s="50">
        <f>865*0.029</f>
        <v>25.1</v>
      </c>
      <c r="AP16" s="50">
        <f>AK16*0.053</f>
        <v>47.4</v>
      </c>
      <c r="AQ16" s="50">
        <f t="shared" si="7"/>
        <v>269.2</v>
      </c>
      <c r="AS16" s="66"/>
    </row>
    <row r="17" spans="1:45" ht="26.4" x14ac:dyDescent="0.25">
      <c r="A17" s="278">
        <v>10</v>
      </c>
      <c r="B17" s="218" t="s">
        <v>100</v>
      </c>
      <c r="C17" s="278">
        <v>1</v>
      </c>
      <c r="D17" s="177">
        <v>11.061999999999999</v>
      </c>
      <c r="E17" s="171">
        <f>C17*D17</f>
        <v>11.06</v>
      </c>
      <c r="F17" s="154">
        <f>E17*12</f>
        <v>132.69999999999999</v>
      </c>
      <c r="G17" s="154"/>
      <c r="H17" s="154">
        <v>5.4</v>
      </c>
      <c r="I17" s="154"/>
      <c r="J17" s="154"/>
      <c r="K17" s="154"/>
      <c r="L17" s="154">
        <f t="shared" si="4"/>
        <v>44.9</v>
      </c>
      <c r="M17" s="154">
        <f>F17+G17+H17+I17+J17+K17+L17</f>
        <v>183</v>
      </c>
      <c r="N17" s="171">
        <v>0.43</v>
      </c>
      <c r="O17" s="154">
        <f>M17*N17</f>
        <v>78.7</v>
      </c>
      <c r="P17" s="154">
        <f>M17+O17</f>
        <v>261.7</v>
      </c>
      <c r="Q17" s="154">
        <f>P17*0.8</f>
        <v>209.4</v>
      </c>
      <c r="R17" s="154">
        <f>P17*0.8</f>
        <v>209.4</v>
      </c>
      <c r="S17" s="154">
        <f>(P17+Q17+R17)*0.032</f>
        <v>21.8</v>
      </c>
      <c r="T17" s="154">
        <f>P17+Q17+R17+S17</f>
        <v>702.3</v>
      </c>
      <c r="U17" s="1532"/>
      <c r="V17" s="154">
        <f t="shared" si="5"/>
        <v>702.3</v>
      </c>
      <c r="W17" s="154">
        <f>V17*0.302</f>
        <v>212.1</v>
      </c>
      <c r="X17" s="54">
        <v>1</v>
      </c>
      <c r="Y17" s="24">
        <v>30</v>
      </c>
      <c r="Z17" s="48">
        <f>X17*Y17</f>
        <v>30</v>
      </c>
      <c r="AA17" s="54"/>
      <c r="AB17" s="24">
        <v>15</v>
      </c>
      <c r="AC17" s="48">
        <f>AA17*AB17</f>
        <v>0</v>
      </c>
      <c r="AD17" s="54"/>
      <c r="AE17" s="24">
        <v>30</v>
      </c>
      <c r="AF17" s="48">
        <f>AD17*AE17</f>
        <v>0</v>
      </c>
      <c r="AG17" s="278">
        <f t="shared" si="0"/>
        <v>9</v>
      </c>
      <c r="AH17" s="48">
        <f t="shared" si="1"/>
        <v>39</v>
      </c>
      <c r="AI17" s="34">
        <f t="shared" si="2"/>
        <v>58525</v>
      </c>
      <c r="AJ17" s="34"/>
      <c r="AK17" s="216">
        <f t="shared" si="3"/>
        <v>702.3</v>
      </c>
      <c r="AL17" s="216">
        <f t="shared" si="6"/>
        <v>245.3</v>
      </c>
      <c r="AM17" s="217">
        <f>AL17/AK17</f>
        <v>0.34899999999999998</v>
      </c>
      <c r="AN17" s="50"/>
      <c r="AO17" s="50"/>
      <c r="AP17" s="50"/>
      <c r="AQ17" s="50">
        <f t="shared" si="7"/>
        <v>0</v>
      </c>
      <c r="AS17" s="66"/>
    </row>
    <row r="18" spans="1:45" x14ac:dyDescent="0.25">
      <c r="A18" s="278">
        <v>11</v>
      </c>
      <c r="B18" s="218" t="s">
        <v>105</v>
      </c>
      <c r="C18" s="278">
        <v>2</v>
      </c>
      <c r="D18" s="177">
        <v>8.4730000000000008</v>
      </c>
      <c r="E18" s="171">
        <f t="shared" si="8"/>
        <v>16.95</v>
      </c>
      <c r="F18" s="154">
        <f t="shared" si="9"/>
        <v>203.4</v>
      </c>
      <c r="G18" s="154"/>
      <c r="H18" s="154">
        <v>2.1</v>
      </c>
      <c r="I18" s="154"/>
      <c r="J18" s="154"/>
      <c r="K18" s="154">
        <f>D18*0.35*12+D18*0.3*12+D18*9.5*0.05</f>
        <v>70.099999999999994</v>
      </c>
      <c r="L18" s="154">
        <f t="shared" si="4"/>
        <v>68.8</v>
      </c>
      <c r="M18" s="154">
        <f t="shared" si="10"/>
        <v>344.4</v>
      </c>
      <c r="N18" s="171">
        <v>0.41</v>
      </c>
      <c r="O18" s="154">
        <f t="shared" si="11"/>
        <v>141.19999999999999</v>
      </c>
      <c r="P18" s="154">
        <f t="shared" si="12"/>
        <v>485.6</v>
      </c>
      <c r="Q18" s="154">
        <f t="shared" si="13"/>
        <v>388.5</v>
      </c>
      <c r="R18" s="154">
        <f t="shared" si="14"/>
        <v>388.5</v>
      </c>
      <c r="S18" s="154">
        <f t="shared" si="15"/>
        <v>40.4</v>
      </c>
      <c r="T18" s="154">
        <f t="shared" si="16"/>
        <v>1303</v>
      </c>
      <c r="U18" s="1532"/>
      <c r="V18" s="154">
        <f t="shared" si="5"/>
        <v>1303</v>
      </c>
      <c r="W18" s="154">
        <f>V18*0.302</f>
        <v>393.5</v>
      </c>
      <c r="X18" s="54"/>
      <c r="Y18" s="24">
        <v>30</v>
      </c>
      <c r="Z18" s="48">
        <f t="shared" si="17"/>
        <v>0</v>
      </c>
      <c r="AA18" s="54"/>
      <c r="AB18" s="24">
        <v>15</v>
      </c>
      <c r="AC18" s="48">
        <f t="shared" si="18"/>
        <v>0</v>
      </c>
      <c r="AD18" s="54"/>
      <c r="AE18" s="24">
        <v>30</v>
      </c>
      <c r="AF18" s="48">
        <f t="shared" si="19"/>
        <v>0</v>
      </c>
      <c r="AG18" s="278">
        <f t="shared" si="0"/>
        <v>0</v>
      </c>
      <c r="AH18" s="48">
        <f t="shared" si="1"/>
        <v>0</v>
      </c>
      <c r="AI18" s="34">
        <f t="shared" si="2"/>
        <v>54291.7</v>
      </c>
      <c r="AJ18" s="34"/>
      <c r="AK18" s="216">
        <f t="shared" si="3"/>
        <v>651.5</v>
      </c>
      <c r="AL18" s="216">
        <f t="shared" si="6"/>
        <v>236.1</v>
      </c>
      <c r="AM18" s="217">
        <v>0.30199999999999999</v>
      </c>
      <c r="AQ18" s="50">
        <f t="shared" si="7"/>
        <v>0</v>
      </c>
      <c r="AS18" s="66"/>
    </row>
    <row r="19" spans="1:45" x14ac:dyDescent="0.25">
      <c r="A19" s="278">
        <v>12</v>
      </c>
      <c r="B19" s="218" t="s">
        <v>47</v>
      </c>
      <c r="C19" s="219">
        <v>1</v>
      </c>
      <c r="D19" s="177">
        <v>6.2859999999999996</v>
      </c>
      <c r="E19" s="171">
        <f t="shared" si="8"/>
        <v>6.29</v>
      </c>
      <c r="F19" s="154">
        <f t="shared" si="9"/>
        <v>75.5</v>
      </c>
      <c r="G19" s="154"/>
      <c r="H19" s="154">
        <v>2.8</v>
      </c>
      <c r="I19" s="154"/>
      <c r="J19" s="154"/>
      <c r="K19" s="154">
        <f>F19*0.2+D19*0.05*9.5</f>
        <v>18.100000000000001</v>
      </c>
      <c r="L19" s="154">
        <f t="shared" si="4"/>
        <v>25.5</v>
      </c>
      <c r="M19" s="154">
        <f t="shared" si="10"/>
        <v>121.9</v>
      </c>
      <c r="N19" s="171">
        <v>0.45</v>
      </c>
      <c r="O19" s="154">
        <f t="shared" si="11"/>
        <v>54.9</v>
      </c>
      <c r="P19" s="154">
        <f t="shared" si="12"/>
        <v>176.8</v>
      </c>
      <c r="Q19" s="154">
        <f t="shared" si="13"/>
        <v>141.4</v>
      </c>
      <c r="R19" s="154">
        <f t="shared" si="14"/>
        <v>141.4</v>
      </c>
      <c r="S19" s="154">
        <f t="shared" si="15"/>
        <v>14.7</v>
      </c>
      <c r="T19" s="154">
        <f t="shared" si="16"/>
        <v>474.3</v>
      </c>
      <c r="U19" s="1532"/>
      <c r="V19" s="154">
        <f t="shared" si="5"/>
        <v>474.3</v>
      </c>
      <c r="W19" s="154">
        <f>V19*0.302</f>
        <v>143.19999999999999</v>
      </c>
      <c r="X19" s="54">
        <v>1</v>
      </c>
      <c r="Y19" s="24">
        <v>30</v>
      </c>
      <c r="Z19" s="48">
        <f t="shared" si="17"/>
        <v>30</v>
      </c>
      <c r="AA19" s="54"/>
      <c r="AB19" s="24">
        <v>15</v>
      </c>
      <c r="AC19" s="48">
        <f t="shared" si="18"/>
        <v>0</v>
      </c>
      <c r="AD19" s="54">
        <v>1</v>
      </c>
      <c r="AE19" s="24">
        <v>30</v>
      </c>
      <c r="AF19" s="48">
        <f t="shared" si="19"/>
        <v>30</v>
      </c>
      <c r="AG19" s="278">
        <f t="shared" si="0"/>
        <v>18</v>
      </c>
      <c r="AH19" s="48">
        <f t="shared" si="1"/>
        <v>78</v>
      </c>
      <c r="AI19" s="34">
        <f t="shared" si="2"/>
        <v>39525</v>
      </c>
      <c r="AJ19" s="34"/>
      <c r="AK19" s="216">
        <f t="shared" si="3"/>
        <v>474.3</v>
      </c>
      <c r="AL19" s="216">
        <f t="shared" si="6"/>
        <v>203.8</v>
      </c>
      <c r="AM19" s="217">
        <v>0.30199999999999999</v>
      </c>
      <c r="AQ19" s="50">
        <f t="shared" si="7"/>
        <v>0</v>
      </c>
      <c r="AS19" s="66"/>
    </row>
    <row r="20" spans="1:45" s="33" customFormat="1" x14ac:dyDescent="0.25">
      <c r="A20" s="278">
        <v>13</v>
      </c>
      <c r="B20" s="218" t="s">
        <v>48</v>
      </c>
      <c r="C20" s="278">
        <v>1</v>
      </c>
      <c r="D20" s="177">
        <v>11.061999999999999</v>
      </c>
      <c r="E20" s="171">
        <f>C20*D20</f>
        <v>11.06</v>
      </c>
      <c r="F20" s="154">
        <f>E20*12</f>
        <v>132.69999999999999</v>
      </c>
      <c r="G20" s="154"/>
      <c r="H20" s="154">
        <v>1.8</v>
      </c>
      <c r="I20" s="154"/>
      <c r="J20" s="154"/>
      <c r="K20" s="154">
        <f>F20*0.35</f>
        <v>46.4</v>
      </c>
      <c r="L20" s="154">
        <f t="shared" si="4"/>
        <v>44.9</v>
      </c>
      <c r="M20" s="154">
        <f>F20+G20+H20+I20+J20+K20+L20</f>
        <v>225.8</v>
      </c>
      <c r="N20" s="171">
        <v>0.47</v>
      </c>
      <c r="O20" s="154">
        <f>M20*N20</f>
        <v>106.1</v>
      </c>
      <c r="P20" s="154">
        <f>M20+O20</f>
        <v>331.9</v>
      </c>
      <c r="Q20" s="154">
        <f>P20*0.8</f>
        <v>265.5</v>
      </c>
      <c r="R20" s="154">
        <f>P20*0.8</f>
        <v>265.5</v>
      </c>
      <c r="S20" s="154">
        <f>(P20+Q20+R20)*0.032</f>
        <v>27.6</v>
      </c>
      <c r="T20" s="154">
        <f>P20+Q20+R20+S20</f>
        <v>890.5</v>
      </c>
      <c r="U20" s="1532"/>
      <c r="V20" s="154">
        <f t="shared" si="5"/>
        <v>890.5</v>
      </c>
      <c r="W20" s="154">
        <f>AQ20</f>
        <v>268.2</v>
      </c>
      <c r="X20" s="54">
        <v>1</v>
      </c>
      <c r="Y20" s="24">
        <v>30</v>
      </c>
      <c r="Z20" s="48">
        <f>X20*Y20</f>
        <v>30</v>
      </c>
      <c r="AA20" s="54"/>
      <c r="AB20" s="24">
        <v>15</v>
      </c>
      <c r="AC20" s="48">
        <f>AA20*AB20</f>
        <v>0</v>
      </c>
      <c r="AD20" s="54"/>
      <c r="AE20" s="24">
        <v>30</v>
      </c>
      <c r="AF20" s="48">
        <f>AD20*AE20</f>
        <v>0</v>
      </c>
      <c r="AG20" s="278">
        <f t="shared" si="0"/>
        <v>9</v>
      </c>
      <c r="AH20" s="48">
        <f t="shared" si="1"/>
        <v>39</v>
      </c>
      <c r="AI20" s="34">
        <f t="shared" si="2"/>
        <v>74208.3</v>
      </c>
      <c r="AJ20" s="220"/>
      <c r="AK20" s="216">
        <f t="shared" si="3"/>
        <v>890.5</v>
      </c>
      <c r="AL20" s="216">
        <f t="shared" si="6"/>
        <v>279.60000000000002</v>
      </c>
      <c r="AM20" s="217">
        <f>AL20/AK20</f>
        <v>0.314</v>
      </c>
      <c r="AN20" s="50">
        <f>AK20*0.22</f>
        <v>195.9</v>
      </c>
      <c r="AO20" s="50">
        <f>865*0.029</f>
        <v>25.1</v>
      </c>
      <c r="AP20" s="50">
        <f>AK20*0.053</f>
        <v>47.2</v>
      </c>
      <c r="AQ20" s="50">
        <f t="shared" si="7"/>
        <v>268.2</v>
      </c>
      <c r="AS20" s="66"/>
    </row>
    <row r="21" spans="1:45" s="33" customFormat="1" x14ac:dyDescent="0.25">
      <c r="A21" s="278">
        <v>14</v>
      </c>
      <c r="B21" s="218" t="s">
        <v>31</v>
      </c>
      <c r="C21" s="278">
        <v>5</v>
      </c>
      <c r="D21" s="177">
        <v>11.061999999999999</v>
      </c>
      <c r="E21" s="171">
        <f>C21*D21</f>
        <v>55.31</v>
      </c>
      <c r="F21" s="154">
        <f>E21*12</f>
        <v>663.7</v>
      </c>
      <c r="G21" s="154"/>
      <c r="H21" s="154">
        <f>40.443+1.617+1.078</f>
        <v>43.1</v>
      </c>
      <c r="I21" s="154"/>
      <c r="J21" s="154"/>
      <c r="K21" s="154">
        <f>D21*0.4*4*12+D21*0.35*12+D21*0.05*3</f>
        <v>260.5</v>
      </c>
      <c r="L21" s="154">
        <f t="shared" si="4"/>
        <v>224.6</v>
      </c>
      <c r="M21" s="154">
        <f>F21+G21+H21+I21+J21+K21+L21</f>
        <v>1191.9000000000001</v>
      </c>
      <c r="N21" s="171">
        <v>0.47</v>
      </c>
      <c r="O21" s="154">
        <f>M21*N21</f>
        <v>560.20000000000005</v>
      </c>
      <c r="P21" s="154">
        <f>M21+O21</f>
        <v>1752.1</v>
      </c>
      <c r="Q21" s="154">
        <f>P21*0.8</f>
        <v>1401.7</v>
      </c>
      <c r="R21" s="154">
        <f>P21*0.8</f>
        <v>1401.7</v>
      </c>
      <c r="S21" s="154">
        <f>(P21+Q21+R21)*0.032</f>
        <v>145.80000000000001</v>
      </c>
      <c r="T21" s="154">
        <f>P21+Q21+R21+S21</f>
        <v>4701.3</v>
      </c>
      <c r="U21" s="1532"/>
      <c r="V21" s="154">
        <f t="shared" si="5"/>
        <v>4701.3</v>
      </c>
      <c r="W21" s="154">
        <f>AQ21*C21</f>
        <v>1409</v>
      </c>
      <c r="X21" s="54">
        <v>4</v>
      </c>
      <c r="Y21" s="24">
        <v>30</v>
      </c>
      <c r="Z21" s="48">
        <f>X21*Y21</f>
        <v>120</v>
      </c>
      <c r="AA21" s="54">
        <v>2</v>
      </c>
      <c r="AB21" s="24">
        <v>15</v>
      </c>
      <c r="AC21" s="48">
        <f>AA21*AB21</f>
        <v>30</v>
      </c>
      <c r="AD21" s="54">
        <v>1</v>
      </c>
      <c r="AE21" s="24">
        <v>30</v>
      </c>
      <c r="AF21" s="48">
        <f>AD21*AE21</f>
        <v>30</v>
      </c>
      <c r="AG21" s="278">
        <f t="shared" si="0"/>
        <v>54</v>
      </c>
      <c r="AH21" s="48">
        <f t="shared" si="1"/>
        <v>234</v>
      </c>
      <c r="AI21" s="34">
        <f t="shared" si="2"/>
        <v>78355</v>
      </c>
      <c r="AJ21" s="220"/>
      <c r="AK21" s="216">
        <f t="shared" si="3"/>
        <v>940.3</v>
      </c>
      <c r="AL21" s="216">
        <f t="shared" si="6"/>
        <v>288.60000000000002</v>
      </c>
      <c r="AM21" s="217">
        <v>0.30199999999999999</v>
      </c>
      <c r="AN21" s="211">
        <f>AK21*0.22</f>
        <v>206.86600000000001</v>
      </c>
      <c r="AO21" s="50">
        <f>865*0.029</f>
        <v>25.1</v>
      </c>
      <c r="AP21" s="50">
        <f>AK21*0.053</f>
        <v>49.8</v>
      </c>
      <c r="AQ21" s="50">
        <f>SUM(AN21:AP21)</f>
        <v>281.8</v>
      </c>
      <c r="AS21" s="66"/>
    </row>
    <row r="22" spans="1:45" s="33" customFormat="1" ht="26.4" x14ac:dyDescent="0.25">
      <c r="A22" s="278">
        <v>15</v>
      </c>
      <c r="B22" s="218" t="s">
        <v>110</v>
      </c>
      <c r="C22" s="278">
        <v>1</v>
      </c>
      <c r="D22" s="177">
        <v>6.2859999999999996</v>
      </c>
      <c r="E22" s="171">
        <f>C22*D22</f>
        <v>6.29</v>
      </c>
      <c r="F22" s="154">
        <f>E22*12</f>
        <v>75.5</v>
      </c>
      <c r="G22" s="154"/>
      <c r="H22" s="154"/>
      <c r="I22" s="154"/>
      <c r="J22" s="154"/>
      <c r="K22" s="154">
        <f>F22*0.2</f>
        <v>15.1</v>
      </c>
      <c r="L22" s="154">
        <f t="shared" si="4"/>
        <v>25.5</v>
      </c>
      <c r="M22" s="154">
        <f>F22+G22+H22+I22+J22+K22+L22</f>
        <v>116.1</v>
      </c>
      <c r="N22" s="171">
        <v>0.45</v>
      </c>
      <c r="O22" s="154">
        <f>M22*N22</f>
        <v>52.2</v>
      </c>
      <c r="P22" s="154">
        <f>M22+O22</f>
        <v>168.3</v>
      </c>
      <c r="Q22" s="154">
        <f>P22*0.8</f>
        <v>134.6</v>
      </c>
      <c r="R22" s="154">
        <f>P22*0.8</f>
        <v>134.6</v>
      </c>
      <c r="S22" s="154">
        <f>(P22+Q22+R22)*0.032</f>
        <v>14</v>
      </c>
      <c r="T22" s="154">
        <f>P22+Q22+R22+S22</f>
        <v>451.5</v>
      </c>
      <c r="U22" s="1532"/>
      <c r="V22" s="154">
        <f t="shared" si="5"/>
        <v>451.5</v>
      </c>
      <c r="W22" s="154">
        <f t="shared" ref="W22:W51" si="20">V22*0.302</f>
        <v>136.4</v>
      </c>
      <c r="X22" s="54">
        <v>1</v>
      </c>
      <c r="Y22" s="24">
        <v>30</v>
      </c>
      <c r="Z22" s="48">
        <f>X22*Y22</f>
        <v>30</v>
      </c>
      <c r="AA22" s="54"/>
      <c r="AB22" s="24">
        <v>15</v>
      </c>
      <c r="AC22" s="48">
        <f>AA22*AB22</f>
        <v>0</v>
      </c>
      <c r="AD22" s="54"/>
      <c r="AE22" s="24">
        <v>30</v>
      </c>
      <c r="AF22" s="48">
        <f>AD22*AE22</f>
        <v>0</v>
      </c>
      <c r="AG22" s="278">
        <f t="shared" si="0"/>
        <v>9</v>
      </c>
      <c r="AH22" s="48">
        <f t="shared" si="1"/>
        <v>39</v>
      </c>
      <c r="AI22" s="34">
        <f t="shared" si="2"/>
        <v>37625</v>
      </c>
      <c r="AJ22" s="220"/>
      <c r="AK22" s="216">
        <f t="shared" si="3"/>
        <v>451.5</v>
      </c>
      <c r="AL22" s="216">
        <f t="shared" si="6"/>
        <v>199.7</v>
      </c>
      <c r="AM22" s="217">
        <v>0.30199999999999999</v>
      </c>
      <c r="AN22" s="211"/>
      <c r="AO22" s="211"/>
      <c r="AP22" s="211"/>
      <c r="AQ22" s="50">
        <f t="shared" si="7"/>
        <v>0</v>
      </c>
      <c r="AS22" s="66"/>
    </row>
    <row r="23" spans="1:45" x14ac:dyDescent="0.25">
      <c r="A23" s="278">
        <v>16</v>
      </c>
      <c r="B23" s="218" t="s">
        <v>49</v>
      </c>
      <c r="C23" s="54">
        <v>1</v>
      </c>
      <c r="D23" s="177">
        <v>8.4730000000000008</v>
      </c>
      <c r="E23" s="171">
        <f>C23*D23</f>
        <v>8.4700000000000006</v>
      </c>
      <c r="F23" s="154">
        <f t="shared" ref="F23:F41" si="21">E23*12</f>
        <v>101.6</v>
      </c>
      <c r="G23" s="154"/>
      <c r="H23" s="154">
        <v>3.7</v>
      </c>
      <c r="I23" s="154"/>
      <c r="J23" s="154">
        <f>F23*0.1</f>
        <v>10.199999999999999</v>
      </c>
      <c r="K23" s="154">
        <f>F23*0.3</f>
        <v>30.5</v>
      </c>
      <c r="L23" s="154">
        <f t="shared" si="4"/>
        <v>34.4</v>
      </c>
      <c r="M23" s="154">
        <f t="shared" ref="M23:M41" si="22">F23+G23+H23+I23+J23+K23+L23</f>
        <v>180.4</v>
      </c>
      <c r="N23" s="171">
        <v>0.41</v>
      </c>
      <c r="O23" s="154">
        <f t="shared" ref="O23:O41" si="23">M23*N23</f>
        <v>74</v>
      </c>
      <c r="P23" s="154">
        <f t="shared" ref="P23:P41" si="24">M23+O23</f>
        <v>254.4</v>
      </c>
      <c r="Q23" s="154">
        <f t="shared" ref="Q23:Q41" si="25">P23*0.8</f>
        <v>203.5</v>
      </c>
      <c r="R23" s="154">
        <f t="shared" ref="R23:R41" si="26">P23*0.8</f>
        <v>203.5</v>
      </c>
      <c r="S23" s="154">
        <f t="shared" ref="S23:S41" si="27">(P23+Q23+R23)*0.032</f>
        <v>21.2</v>
      </c>
      <c r="T23" s="154">
        <f t="shared" ref="T23:T41" si="28">P23+Q23+R23+S23</f>
        <v>682.6</v>
      </c>
      <c r="U23" s="1532"/>
      <c r="V23" s="154">
        <f t="shared" si="5"/>
        <v>682.6</v>
      </c>
      <c r="W23" s="154">
        <f t="shared" si="20"/>
        <v>206.1</v>
      </c>
      <c r="X23" s="278">
        <v>1</v>
      </c>
      <c r="Y23" s="24">
        <v>30</v>
      </c>
      <c r="Z23" s="48">
        <f>X23*Y23</f>
        <v>30</v>
      </c>
      <c r="AA23" s="54">
        <v>1</v>
      </c>
      <c r="AB23" s="24">
        <v>15</v>
      </c>
      <c r="AC23" s="48">
        <f>AA23*AB23</f>
        <v>15</v>
      </c>
      <c r="AD23" s="54"/>
      <c r="AE23" s="24">
        <v>30</v>
      </c>
      <c r="AF23" s="48">
        <f>AD23*AE23</f>
        <v>0</v>
      </c>
      <c r="AG23" s="278">
        <f t="shared" si="0"/>
        <v>13.5</v>
      </c>
      <c r="AH23" s="48">
        <f t="shared" si="1"/>
        <v>58.5</v>
      </c>
      <c r="AI23" s="34">
        <f t="shared" si="2"/>
        <v>56883.3</v>
      </c>
      <c r="AJ23" s="34"/>
      <c r="AK23" s="216">
        <f t="shared" si="3"/>
        <v>682.6</v>
      </c>
      <c r="AL23" s="216">
        <f t="shared" si="6"/>
        <v>241.7</v>
      </c>
      <c r="AM23" s="217">
        <v>0.30199999999999999</v>
      </c>
      <c r="AQ23" s="50">
        <f t="shared" si="7"/>
        <v>0</v>
      </c>
      <c r="AS23" s="66"/>
    </row>
    <row r="24" spans="1:45" x14ac:dyDescent="0.25">
      <c r="A24" s="278">
        <v>17</v>
      </c>
      <c r="B24" s="218" t="s">
        <v>50</v>
      </c>
      <c r="C24" s="54">
        <v>1</v>
      </c>
      <c r="D24" s="177">
        <v>8.4730000000000008</v>
      </c>
      <c r="E24" s="171">
        <f>C24*D24</f>
        <v>8.4700000000000006</v>
      </c>
      <c r="F24" s="154">
        <f t="shared" si="21"/>
        <v>101.6</v>
      </c>
      <c r="G24" s="154"/>
      <c r="H24" s="154">
        <v>0.4</v>
      </c>
      <c r="I24" s="154"/>
      <c r="J24" s="154">
        <f>F24*0.1</f>
        <v>10.199999999999999</v>
      </c>
      <c r="K24" s="154">
        <f>F24*0.4</f>
        <v>40.6</v>
      </c>
      <c r="L24" s="154">
        <f t="shared" si="4"/>
        <v>34.4</v>
      </c>
      <c r="M24" s="154">
        <f t="shared" si="22"/>
        <v>187.2</v>
      </c>
      <c r="N24" s="171">
        <v>0.41</v>
      </c>
      <c r="O24" s="154">
        <f t="shared" si="23"/>
        <v>76.8</v>
      </c>
      <c r="P24" s="154">
        <f t="shared" si="24"/>
        <v>264</v>
      </c>
      <c r="Q24" s="154">
        <f t="shared" si="25"/>
        <v>211.2</v>
      </c>
      <c r="R24" s="154">
        <f t="shared" si="26"/>
        <v>211.2</v>
      </c>
      <c r="S24" s="154">
        <f t="shared" si="27"/>
        <v>22</v>
      </c>
      <c r="T24" s="154">
        <f t="shared" si="28"/>
        <v>708.4</v>
      </c>
      <c r="U24" s="1532"/>
      <c r="V24" s="154">
        <f t="shared" si="5"/>
        <v>708.4</v>
      </c>
      <c r="W24" s="154">
        <f t="shared" si="20"/>
        <v>213.9</v>
      </c>
      <c r="X24" s="278"/>
      <c r="Y24" s="24">
        <v>30</v>
      </c>
      <c r="Z24" s="48">
        <f>X24*Y24</f>
        <v>0</v>
      </c>
      <c r="AA24" s="54"/>
      <c r="AB24" s="24">
        <v>15</v>
      </c>
      <c r="AC24" s="48">
        <f>AA24*AB24</f>
        <v>0</v>
      </c>
      <c r="AD24" s="54"/>
      <c r="AE24" s="24">
        <v>30</v>
      </c>
      <c r="AF24" s="48">
        <f>AD24*AE24</f>
        <v>0</v>
      </c>
      <c r="AG24" s="278">
        <f t="shared" si="0"/>
        <v>0</v>
      </c>
      <c r="AH24" s="48">
        <f t="shared" si="1"/>
        <v>0</v>
      </c>
      <c r="AI24" s="34">
        <f t="shared" si="2"/>
        <v>59033.3</v>
      </c>
      <c r="AJ24" s="34"/>
      <c r="AK24" s="216">
        <f t="shared" si="3"/>
        <v>708.4</v>
      </c>
      <c r="AL24" s="216">
        <f t="shared" si="6"/>
        <v>246.4</v>
      </c>
      <c r="AM24" s="217">
        <v>0.30199999999999999</v>
      </c>
      <c r="AQ24" s="50">
        <f t="shared" si="7"/>
        <v>0</v>
      </c>
      <c r="AS24" s="66"/>
    </row>
    <row r="25" spans="1:45" ht="26.4" x14ac:dyDescent="0.25">
      <c r="A25" s="278">
        <v>18</v>
      </c>
      <c r="B25" s="218" t="s">
        <v>51</v>
      </c>
      <c r="C25" s="54">
        <v>1</v>
      </c>
      <c r="D25" s="177">
        <v>8.4730000000000008</v>
      </c>
      <c r="E25" s="171">
        <f t="shared" ref="E25:E40" si="29">C25*D25</f>
        <v>8.4700000000000006</v>
      </c>
      <c r="F25" s="154">
        <f t="shared" si="21"/>
        <v>101.6</v>
      </c>
      <c r="G25" s="154"/>
      <c r="H25" s="154">
        <v>2.1</v>
      </c>
      <c r="I25" s="154"/>
      <c r="J25" s="154">
        <f>F25*0.1</f>
        <v>10.199999999999999</v>
      </c>
      <c r="K25" s="154">
        <f>F25*0.4</f>
        <v>40.6</v>
      </c>
      <c r="L25" s="154">
        <f t="shared" si="4"/>
        <v>34.4</v>
      </c>
      <c r="M25" s="154">
        <f t="shared" si="22"/>
        <v>188.9</v>
      </c>
      <c r="N25" s="171">
        <v>0.41</v>
      </c>
      <c r="O25" s="154">
        <f t="shared" si="23"/>
        <v>77.400000000000006</v>
      </c>
      <c r="P25" s="154">
        <f t="shared" si="24"/>
        <v>266.3</v>
      </c>
      <c r="Q25" s="154">
        <f t="shared" si="25"/>
        <v>213</v>
      </c>
      <c r="R25" s="154">
        <f t="shared" si="26"/>
        <v>213</v>
      </c>
      <c r="S25" s="154">
        <f t="shared" si="27"/>
        <v>22.2</v>
      </c>
      <c r="T25" s="154">
        <f t="shared" si="28"/>
        <v>714.5</v>
      </c>
      <c r="U25" s="1532"/>
      <c r="V25" s="154">
        <f t="shared" si="5"/>
        <v>714.5</v>
      </c>
      <c r="W25" s="154">
        <f t="shared" si="20"/>
        <v>215.8</v>
      </c>
      <c r="X25" s="278">
        <v>1</v>
      </c>
      <c r="Y25" s="24">
        <v>30</v>
      </c>
      <c r="Z25" s="48">
        <f t="shared" ref="Z25:Z38" si="30">X25*Y25</f>
        <v>30</v>
      </c>
      <c r="AA25" s="54"/>
      <c r="AB25" s="24">
        <v>15</v>
      </c>
      <c r="AC25" s="48">
        <f t="shared" ref="AC25:AC38" si="31">AA25*AB25</f>
        <v>0</v>
      </c>
      <c r="AD25" s="54"/>
      <c r="AE25" s="24">
        <v>30</v>
      </c>
      <c r="AF25" s="48">
        <f t="shared" ref="AF25:AF41" si="32">AD25*AE25</f>
        <v>0</v>
      </c>
      <c r="AG25" s="278">
        <f t="shared" si="0"/>
        <v>9</v>
      </c>
      <c r="AH25" s="48">
        <f t="shared" si="1"/>
        <v>39</v>
      </c>
      <c r="AI25" s="34">
        <f t="shared" si="2"/>
        <v>59541.7</v>
      </c>
      <c r="AJ25" s="34"/>
      <c r="AK25" s="216">
        <f t="shared" si="3"/>
        <v>714.5</v>
      </c>
      <c r="AL25" s="216">
        <f t="shared" si="6"/>
        <v>247.5</v>
      </c>
      <c r="AM25" s="217">
        <v>0.30199999999999999</v>
      </c>
      <c r="AQ25" s="50">
        <f t="shared" si="7"/>
        <v>0</v>
      </c>
      <c r="AS25" s="66"/>
    </row>
    <row r="26" spans="1:45" x14ac:dyDescent="0.25">
      <c r="A26" s="278">
        <v>19</v>
      </c>
      <c r="B26" s="218" t="s">
        <v>52</v>
      </c>
      <c r="C26" s="54">
        <v>1</v>
      </c>
      <c r="D26" s="177">
        <v>8.4730000000000008</v>
      </c>
      <c r="E26" s="171">
        <f t="shared" si="29"/>
        <v>8.4700000000000006</v>
      </c>
      <c r="F26" s="154">
        <f t="shared" si="21"/>
        <v>101.6</v>
      </c>
      <c r="G26" s="154"/>
      <c r="H26" s="154">
        <v>1.4</v>
      </c>
      <c r="I26" s="154"/>
      <c r="J26" s="154"/>
      <c r="K26" s="154">
        <f>D26*0.25*7.7+D26*0.3*4.3</f>
        <v>27.2</v>
      </c>
      <c r="L26" s="154">
        <f t="shared" si="4"/>
        <v>34.4</v>
      </c>
      <c r="M26" s="154">
        <f t="shared" si="22"/>
        <v>164.6</v>
      </c>
      <c r="N26" s="171">
        <v>0.41</v>
      </c>
      <c r="O26" s="154">
        <f t="shared" si="23"/>
        <v>67.5</v>
      </c>
      <c r="P26" s="154">
        <f t="shared" si="24"/>
        <v>232.1</v>
      </c>
      <c r="Q26" s="154">
        <f t="shared" si="25"/>
        <v>185.7</v>
      </c>
      <c r="R26" s="154">
        <f t="shared" si="26"/>
        <v>185.7</v>
      </c>
      <c r="S26" s="154">
        <f t="shared" si="27"/>
        <v>19.3</v>
      </c>
      <c r="T26" s="154">
        <f t="shared" si="28"/>
        <v>622.79999999999995</v>
      </c>
      <c r="U26" s="1532"/>
      <c r="V26" s="154">
        <f t="shared" si="5"/>
        <v>622.79999999999995</v>
      </c>
      <c r="W26" s="154">
        <f t="shared" si="20"/>
        <v>188.1</v>
      </c>
      <c r="X26" s="278">
        <v>1</v>
      </c>
      <c r="Y26" s="24">
        <v>30</v>
      </c>
      <c r="Z26" s="48">
        <f t="shared" si="30"/>
        <v>30</v>
      </c>
      <c r="AA26" s="54"/>
      <c r="AB26" s="24">
        <v>15</v>
      </c>
      <c r="AC26" s="48">
        <f t="shared" si="31"/>
        <v>0</v>
      </c>
      <c r="AD26" s="54"/>
      <c r="AE26" s="24">
        <v>30</v>
      </c>
      <c r="AF26" s="48">
        <f t="shared" si="32"/>
        <v>0</v>
      </c>
      <c r="AG26" s="278">
        <f t="shared" si="0"/>
        <v>9</v>
      </c>
      <c r="AH26" s="48">
        <f t="shared" si="1"/>
        <v>39</v>
      </c>
      <c r="AI26" s="34">
        <f t="shared" si="2"/>
        <v>51900</v>
      </c>
      <c r="AJ26" s="34"/>
      <c r="AK26" s="216">
        <f t="shared" si="3"/>
        <v>622.79999999999995</v>
      </c>
      <c r="AL26" s="216">
        <f t="shared" si="6"/>
        <v>230.8</v>
      </c>
      <c r="AM26" s="217">
        <v>0.30199999999999999</v>
      </c>
      <c r="AQ26" s="50">
        <f t="shared" si="7"/>
        <v>0</v>
      </c>
      <c r="AS26" s="66"/>
    </row>
    <row r="27" spans="1:45" ht="26.25" customHeight="1" x14ac:dyDescent="0.25">
      <c r="A27" s="278">
        <v>20</v>
      </c>
      <c r="B27" s="218" t="s">
        <v>53</v>
      </c>
      <c r="C27" s="49">
        <f>1-0.5</f>
        <v>0.5</v>
      </c>
      <c r="D27" s="177">
        <v>8.4730000000000008</v>
      </c>
      <c r="E27" s="171">
        <f t="shared" si="29"/>
        <v>4.24</v>
      </c>
      <c r="F27" s="154">
        <f t="shared" si="21"/>
        <v>50.9</v>
      </c>
      <c r="G27" s="154"/>
      <c r="H27" s="154"/>
      <c r="I27" s="154"/>
      <c r="J27" s="154"/>
      <c r="K27" s="154"/>
      <c r="L27" s="154">
        <f t="shared" si="4"/>
        <v>17.2</v>
      </c>
      <c r="M27" s="154">
        <f t="shared" si="22"/>
        <v>68.099999999999994</v>
      </c>
      <c r="N27" s="171">
        <v>0.41</v>
      </c>
      <c r="O27" s="154">
        <f t="shared" si="23"/>
        <v>27.9</v>
      </c>
      <c r="P27" s="154">
        <f t="shared" si="24"/>
        <v>96</v>
      </c>
      <c r="Q27" s="154">
        <f t="shared" si="25"/>
        <v>76.8</v>
      </c>
      <c r="R27" s="154">
        <f t="shared" si="26"/>
        <v>76.8</v>
      </c>
      <c r="S27" s="154">
        <f t="shared" si="27"/>
        <v>8</v>
      </c>
      <c r="T27" s="154">
        <f t="shared" si="28"/>
        <v>257.60000000000002</v>
      </c>
      <c r="U27" s="1532"/>
      <c r="V27" s="154">
        <f t="shared" si="5"/>
        <v>257.60000000000002</v>
      </c>
      <c r="W27" s="154">
        <f t="shared" si="20"/>
        <v>77.8</v>
      </c>
      <c r="X27" s="278"/>
      <c r="Y27" s="24">
        <v>30</v>
      </c>
      <c r="Z27" s="48">
        <f t="shared" si="30"/>
        <v>0</v>
      </c>
      <c r="AA27" s="54"/>
      <c r="AB27" s="24">
        <v>15</v>
      </c>
      <c r="AC27" s="48">
        <f t="shared" si="31"/>
        <v>0</v>
      </c>
      <c r="AD27" s="54"/>
      <c r="AE27" s="24">
        <v>30</v>
      </c>
      <c r="AF27" s="48">
        <f t="shared" si="32"/>
        <v>0</v>
      </c>
      <c r="AG27" s="278">
        <f t="shared" si="0"/>
        <v>0</v>
      </c>
      <c r="AH27" s="48">
        <f t="shared" si="1"/>
        <v>0</v>
      </c>
      <c r="AI27" s="34">
        <f t="shared" si="2"/>
        <v>42933.3</v>
      </c>
      <c r="AJ27" s="34"/>
      <c r="AK27" s="216">
        <f t="shared" si="3"/>
        <v>515.20000000000005</v>
      </c>
      <c r="AL27" s="216">
        <f t="shared" si="6"/>
        <v>211.2</v>
      </c>
      <c r="AM27" s="217">
        <v>0.30199999999999999</v>
      </c>
      <c r="AQ27" s="50">
        <f t="shared" si="7"/>
        <v>0</v>
      </c>
      <c r="AS27" s="66"/>
    </row>
    <row r="28" spans="1:45" x14ac:dyDescent="0.25">
      <c r="A28" s="278">
        <v>21</v>
      </c>
      <c r="B28" s="218" t="s">
        <v>54</v>
      </c>
      <c r="C28" s="54">
        <v>1</v>
      </c>
      <c r="D28" s="177">
        <v>11.061999999999999</v>
      </c>
      <c r="E28" s="171">
        <f t="shared" si="29"/>
        <v>11.06</v>
      </c>
      <c r="F28" s="154">
        <f t="shared" si="21"/>
        <v>132.69999999999999</v>
      </c>
      <c r="G28" s="154"/>
      <c r="H28" s="154">
        <v>3.2</v>
      </c>
      <c r="I28" s="154"/>
      <c r="J28" s="154">
        <f>F28*0.1</f>
        <v>13.3</v>
      </c>
      <c r="K28" s="154">
        <f>F28*0.3</f>
        <v>39.799999999999997</v>
      </c>
      <c r="L28" s="154">
        <f t="shared" si="4"/>
        <v>44.9</v>
      </c>
      <c r="M28" s="154">
        <f t="shared" si="22"/>
        <v>233.9</v>
      </c>
      <c r="N28" s="171">
        <v>0.43</v>
      </c>
      <c r="O28" s="154">
        <f t="shared" si="23"/>
        <v>100.6</v>
      </c>
      <c r="P28" s="154">
        <f t="shared" si="24"/>
        <v>334.5</v>
      </c>
      <c r="Q28" s="154">
        <f t="shared" si="25"/>
        <v>267.60000000000002</v>
      </c>
      <c r="R28" s="154">
        <f t="shared" si="26"/>
        <v>267.60000000000002</v>
      </c>
      <c r="S28" s="154">
        <f t="shared" si="27"/>
        <v>27.8</v>
      </c>
      <c r="T28" s="154">
        <f t="shared" si="28"/>
        <v>897.5</v>
      </c>
      <c r="U28" s="1532"/>
      <c r="V28" s="154">
        <f t="shared" si="5"/>
        <v>897.5</v>
      </c>
      <c r="W28" s="154">
        <f>AQ28</f>
        <v>270.2</v>
      </c>
      <c r="X28" s="278"/>
      <c r="Y28" s="24">
        <v>30</v>
      </c>
      <c r="Z28" s="48">
        <f t="shared" si="30"/>
        <v>0</v>
      </c>
      <c r="AA28" s="54"/>
      <c r="AB28" s="24">
        <v>15</v>
      </c>
      <c r="AC28" s="48">
        <f t="shared" si="31"/>
        <v>0</v>
      </c>
      <c r="AD28" s="54"/>
      <c r="AE28" s="24">
        <v>30</v>
      </c>
      <c r="AF28" s="48">
        <f t="shared" si="32"/>
        <v>0</v>
      </c>
      <c r="AG28" s="278">
        <f t="shared" si="0"/>
        <v>0</v>
      </c>
      <c r="AH28" s="48">
        <f>Z28+AC28+AF28+AG28</f>
        <v>0</v>
      </c>
      <c r="AI28" s="34">
        <f t="shared" si="2"/>
        <v>74791.7</v>
      </c>
      <c r="AJ28" s="34"/>
      <c r="AK28" s="216">
        <f t="shared" si="3"/>
        <v>897.5</v>
      </c>
      <c r="AL28" s="216">
        <f t="shared" si="6"/>
        <v>280.8</v>
      </c>
      <c r="AM28" s="217">
        <v>0.30199999999999999</v>
      </c>
      <c r="AN28" s="221">
        <f>AK28*0.22</f>
        <v>197.5</v>
      </c>
      <c r="AO28" s="50">
        <f>865*0.029</f>
        <v>25.1</v>
      </c>
      <c r="AP28" s="50">
        <f>AK28*0.053</f>
        <v>47.6</v>
      </c>
      <c r="AQ28" s="50">
        <f t="shared" si="7"/>
        <v>270.2</v>
      </c>
      <c r="AS28" s="66"/>
    </row>
    <row r="29" spans="1:45" x14ac:dyDescent="0.25">
      <c r="A29" s="278">
        <v>22</v>
      </c>
      <c r="B29" s="218" t="s">
        <v>40</v>
      </c>
      <c r="C29" s="54">
        <v>2</v>
      </c>
      <c r="D29" s="177">
        <v>11.061999999999999</v>
      </c>
      <c r="E29" s="171">
        <f t="shared" si="29"/>
        <v>22.12</v>
      </c>
      <c r="F29" s="154">
        <f t="shared" si="21"/>
        <v>265.39999999999998</v>
      </c>
      <c r="G29" s="154"/>
      <c r="H29" s="154">
        <v>3.2</v>
      </c>
      <c r="I29" s="154"/>
      <c r="J29" s="154"/>
      <c r="K29" s="154">
        <f>D29*0.4*12+D29*0.35*12</f>
        <v>99.6</v>
      </c>
      <c r="L29" s="154">
        <f t="shared" si="4"/>
        <v>89.8</v>
      </c>
      <c r="M29" s="154">
        <f t="shared" si="22"/>
        <v>458</v>
      </c>
      <c r="N29" s="171">
        <v>0.43</v>
      </c>
      <c r="O29" s="154">
        <f t="shared" si="23"/>
        <v>196.9</v>
      </c>
      <c r="P29" s="154">
        <f t="shared" si="24"/>
        <v>654.9</v>
      </c>
      <c r="Q29" s="154">
        <f t="shared" si="25"/>
        <v>523.9</v>
      </c>
      <c r="R29" s="154">
        <f t="shared" si="26"/>
        <v>523.9</v>
      </c>
      <c r="S29" s="154">
        <f t="shared" si="27"/>
        <v>54.5</v>
      </c>
      <c r="T29" s="154">
        <f t="shared" si="28"/>
        <v>1757.2</v>
      </c>
      <c r="U29" s="1532"/>
      <c r="V29" s="154">
        <f t="shared" si="5"/>
        <v>1757.2</v>
      </c>
      <c r="W29" s="154">
        <f>AQ29*C29</f>
        <v>530</v>
      </c>
      <c r="X29" s="278">
        <v>1</v>
      </c>
      <c r="Y29" s="24">
        <v>30</v>
      </c>
      <c r="Z29" s="48">
        <f t="shared" si="30"/>
        <v>30</v>
      </c>
      <c r="AA29" s="54">
        <v>2</v>
      </c>
      <c r="AB29" s="24">
        <v>15</v>
      </c>
      <c r="AC29" s="48">
        <f t="shared" si="31"/>
        <v>30</v>
      </c>
      <c r="AD29" s="54"/>
      <c r="AE29" s="24">
        <v>30</v>
      </c>
      <c r="AF29" s="48">
        <f t="shared" si="32"/>
        <v>0</v>
      </c>
      <c r="AG29" s="278">
        <f t="shared" si="0"/>
        <v>18</v>
      </c>
      <c r="AH29" s="48">
        <f t="shared" ref="AH29:AH41" si="33">Z29+AC29+AF29+AG29</f>
        <v>78</v>
      </c>
      <c r="AI29" s="34">
        <f t="shared" si="2"/>
        <v>73216.7</v>
      </c>
      <c r="AJ29" s="34"/>
      <c r="AK29" s="216">
        <f t="shared" si="3"/>
        <v>878.6</v>
      </c>
      <c r="AL29" s="216">
        <f t="shared" si="6"/>
        <v>277.39999999999998</v>
      </c>
      <c r="AM29" s="217">
        <v>0.30199999999999999</v>
      </c>
      <c r="AN29" s="221">
        <f>AK29*0.22</f>
        <v>193.3</v>
      </c>
      <c r="AO29" s="50">
        <f>865*0.029</f>
        <v>25.1</v>
      </c>
      <c r="AP29" s="50">
        <f>AK29*0.053</f>
        <v>46.6</v>
      </c>
      <c r="AQ29" s="50">
        <f t="shared" si="7"/>
        <v>265</v>
      </c>
      <c r="AS29" s="66"/>
    </row>
    <row r="30" spans="1:45" x14ac:dyDescent="0.25">
      <c r="A30" s="278">
        <v>23</v>
      </c>
      <c r="B30" s="218" t="s">
        <v>55</v>
      </c>
      <c r="C30" s="54">
        <v>1</v>
      </c>
      <c r="D30" s="213">
        <v>8.4730000000000008</v>
      </c>
      <c r="E30" s="171">
        <f t="shared" si="29"/>
        <v>8.4700000000000006</v>
      </c>
      <c r="F30" s="154">
        <f t="shared" si="21"/>
        <v>101.6</v>
      </c>
      <c r="G30" s="154"/>
      <c r="H30" s="154">
        <v>2.1</v>
      </c>
      <c r="I30" s="154"/>
      <c r="J30" s="154">
        <f>F30*0.1</f>
        <v>10.199999999999999</v>
      </c>
      <c r="K30" s="154">
        <f>D30*0.3*12</f>
        <v>30.5</v>
      </c>
      <c r="L30" s="154">
        <f t="shared" si="4"/>
        <v>34.4</v>
      </c>
      <c r="M30" s="154">
        <f t="shared" si="22"/>
        <v>178.8</v>
      </c>
      <c r="N30" s="171">
        <v>0.41</v>
      </c>
      <c r="O30" s="154">
        <f t="shared" si="23"/>
        <v>73.3</v>
      </c>
      <c r="P30" s="154">
        <f t="shared" si="24"/>
        <v>252.1</v>
      </c>
      <c r="Q30" s="154">
        <f t="shared" si="25"/>
        <v>201.7</v>
      </c>
      <c r="R30" s="154">
        <f t="shared" si="26"/>
        <v>201.7</v>
      </c>
      <c r="S30" s="154">
        <f t="shared" si="27"/>
        <v>21</v>
      </c>
      <c r="T30" s="154">
        <f t="shared" si="28"/>
        <v>676.5</v>
      </c>
      <c r="U30" s="1532"/>
      <c r="V30" s="154">
        <f t="shared" si="5"/>
        <v>676.5</v>
      </c>
      <c r="W30" s="154">
        <f t="shared" si="20"/>
        <v>204.3</v>
      </c>
      <c r="X30" s="278">
        <v>1</v>
      </c>
      <c r="Y30" s="24">
        <v>30</v>
      </c>
      <c r="Z30" s="48">
        <f t="shared" si="30"/>
        <v>30</v>
      </c>
      <c r="AA30" s="54">
        <v>1</v>
      </c>
      <c r="AB30" s="24">
        <v>15</v>
      </c>
      <c r="AC30" s="48">
        <f t="shared" si="31"/>
        <v>15</v>
      </c>
      <c r="AD30" s="54">
        <v>1</v>
      </c>
      <c r="AE30" s="24">
        <v>30</v>
      </c>
      <c r="AF30" s="48">
        <f t="shared" si="32"/>
        <v>30</v>
      </c>
      <c r="AG30" s="278">
        <f t="shared" si="0"/>
        <v>22.5</v>
      </c>
      <c r="AH30" s="48">
        <f t="shared" si="33"/>
        <v>97.5</v>
      </c>
      <c r="AI30" s="34">
        <f t="shared" si="2"/>
        <v>56375</v>
      </c>
      <c r="AJ30" s="34"/>
      <c r="AK30" s="216">
        <f t="shared" si="3"/>
        <v>676.5</v>
      </c>
      <c r="AL30" s="216">
        <f t="shared" si="6"/>
        <v>240.6</v>
      </c>
      <c r="AM30" s="217">
        <f>AL30/AK30</f>
        <v>0.35599999999999998</v>
      </c>
      <c r="AN30" s="222"/>
      <c r="AO30" s="50"/>
      <c r="AP30" s="50"/>
      <c r="AQ30" s="50">
        <f t="shared" si="7"/>
        <v>0</v>
      </c>
      <c r="AS30" s="66"/>
    </row>
    <row r="31" spans="1:45" x14ac:dyDescent="0.25">
      <c r="A31" s="278">
        <v>24</v>
      </c>
      <c r="B31" s="218" t="s">
        <v>29</v>
      </c>
      <c r="C31" s="54">
        <v>3</v>
      </c>
      <c r="D31" s="213">
        <v>8.4730000000000008</v>
      </c>
      <c r="E31" s="171">
        <f t="shared" si="29"/>
        <v>25.42</v>
      </c>
      <c r="F31" s="154">
        <f t="shared" si="21"/>
        <v>305</v>
      </c>
      <c r="G31" s="154"/>
      <c r="H31" s="154">
        <v>61.7</v>
      </c>
      <c r="I31" s="154"/>
      <c r="J31" s="154"/>
      <c r="K31" s="154">
        <f>D31*0.3*12+D31*0.05*2</f>
        <v>31.4</v>
      </c>
      <c r="L31" s="154">
        <f t="shared" si="4"/>
        <v>103.2</v>
      </c>
      <c r="M31" s="154">
        <f t="shared" si="22"/>
        <v>501.3</v>
      </c>
      <c r="N31" s="171">
        <v>0.41</v>
      </c>
      <c r="O31" s="154">
        <f t="shared" si="23"/>
        <v>205.5</v>
      </c>
      <c r="P31" s="154">
        <f t="shared" si="24"/>
        <v>706.8</v>
      </c>
      <c r="Q31" s="154">
        <f t="shared" si="25"/>
        <v>565.4</v>
      </c>
      <c r="R31" s="154">
        <f t="shared" si="26"/>
        <v>565.4</v>
      </c>
      <c r="S31" s="154">
        <f t="shared" si="27"/>
        <v>58.8</v>
      </c>
      <c r="T31" s="154">
        <f t="shared" si="28"/>
        <v>1896.4</v>
      </c>
      <c r="U31" s="1532"/>
      <c r="V31" s="154">
        <f t="shared" si="5"/>
        <v>1896.4</v>
      </c>
      <c r="W31" s="154">
        <f t="shared" si="20"/>
        <v>572.70000000000005</v>
      </c>
      <c r="X31" s="278">
        <v>1</v>
      </c>
      <c r="Y31" s="24">
        <v>30</v>
      </c>
      <c r="Z31" s="48">
        <f t="shared" si="30"/>
        <v>30</v>
      </c>
      <c r="AA31" s="54">
        <v>3</v>
      </c>
      <c r="AB31" s="24">
        <v>15</v>
      </c>
      <c r="AC31" s="48">
        <f t="shared" si="31"/>
        <v>45</v>
      </c>
      <c r="AD31" s="54"/>
      <c r="AE31" s="24">
        <v>30</v>
      </c>
      <c r="AF31" s="48">
        <f t="shared" si="32"/>
        <v>0</v>
      </c>
      <c r="AG31" s="278">
        <f t="shared" si="0"/>
        <v>22.5</v>
      </c>
      <c r="AH31" s="48">
        <f t="shared" si="33"/>
        <v>97.5</v>
      </c>
      <c r="AI31" s="34">
        <f t="shared" si="2"/>
        <v>52677.8</v>
      </c>
      <c r="AJ31" s="34"/>
      <c r="AK31" s="216">
        <f t="shared" si="3"/>
        <v>632.1</v>
      </c>
      <c r="AL31" s="216">
        <f t="shared" si="6"/>
        <v>232.5</v>
      </c>
      <c r="AM31" s="217">
        <v>0.30199999999999999</v>
      </c>
      <c r="AN31" s="223"/>
      <c r="AO31" s="62"/>
      <c r="AP31" s="62"/>
      <c r="AQ31" s="50">
        <f t="shared" si="7"/>
        <v>0</v>
      </c>
      <c r="AS31" s="66"/>
    </row>
    <row r="32" spans="1:45" ht="13.5" customHeight="1" x14ac:dyDescent="0.25">
      <c r="A32" s="278">
        <v>25</v>
      </c>
      <c r="B32" s="218" t="s">
        <v>42</v>
      </c>
      <c r="C32" s="54">
        <v>1</v>
      </c>
      <c r="D32" s="177">
        <v>11.061999999999999</v>
      </c>
      <c r="E32" s="171">
        <f t="shared" si="29"/>
        <v>11.06</v>
      </c>
      <c r="F32" s="154">
        <f t="shared" si="21"/>
        <v>132.69999999999999</v>
      </c>
      <c r="G32" s="154"/>
      <c r="H32" s="154">
        <v>4.8</v>
      </c>
      <c r="I32" s="154"/>
      <c r="J32" s="154">
        <f>F32*0.1</f>
        <v>13.3</v>
      </c>
      <c r="K32" s="154">
        <f>D32*0.25*12</f>
        <v>33.200000000000003</v>
      </c>
      <c r="L32" s="154">
        <f t="shared" si="4"/>
        <v>44.9</v>
      </c>
      <c r="M32" s="154">
        <f t="shared" si="22"/>
        <v>228.9</v>
      </c>
      <c r="N32" s="171">
        <v>0.43</v>
      </c>
      <c r="O32" s="154">
        <f t="shared" si="23"/>
        <v>98.4</v>
      </c>
      <c r="P32" s="154">
        <f t="shared" si="24"/>
        <v>327.3</v>
      </c>
      <c r="Q32" s="154">
        <f t="shared" si="25"/>
        <v>261.8</v>
      </c>
      <c r="R32" s="154">
        <f t="shared" si="26"/>
        <v>261.8</v>
      </c>
      <c r="S32" s="154">
        <f t="shared" si="27"/>
        <v>27.2</v>
      </c>
      <c r="T32" s="154">
        <f t="shared" si="28"/>
        <v>878.1</v>
      </c>
      <c r="U32" s="1532"/>
      <c r="V32" s="154">
        <f t="shared" si="5"/>
        <v>878.1</v>
      </c>
      <c r="W32" s="154">
        <f>AQ32</f>
        <v>264.8</v>
      </c>
      <c r="X32" s="278"/>
      <c r="Y32" s="24">
        <v>30</v>
      </c>
      <c r="Z32" s="48">
        <f t="shared" si="30"/>
        <v>0</v>
      </c>
      <c r="AA32" s="54"/>
      <c r="AB32" s="24">
        <v>15</v>
      </c>
      <c r="AC32" s="48">
        <f t="shared" si="31"/>
        <v>0</v>
      </c>
      <c r="AD32" s="54"/>
      <c r="AE32" s="24">
        <v>30</v>
      </c>
      <c r="AF32" s="48">
        <f t="shared" si="32"/>
        <v>0</v>
      </c>
      <c r="AG32" s="278">
        <f t="shared" si="0"/>
        <v>0</v>
      </c>
      <c r="AH32" s="48">
        <f t="shared" si="33"/>
        <v>0</v>
      </c>
      <c r="AI32" s="34">
        <f t="shared" si="2"/>
        <v>73175</v>
      </c>
      <c r="AJ32" s="34"/>
      <c r="AK32" s="216">
        <f t="shared" si="3"/>
        <v>878.1</v>
      </c>
      <c r="AL32" s="216">
        <f t="shared" si="6"/>
        <v>277.3</v>
      </c>
      <c r="AM32" s="217">
        <v>0.30199999999999999</v>
      </c>
      <c r="AN32" s="221">
        <f>AK32*0.22</f>
        <v>193.2</v>
      </c>
      <c r="AO32" s="50">
        <f>865*0.029</f>
        <v>25.1</v>
      </c>
      <c r="AP32" s="50">
        <f>AK32*0.053</f>
        <v>46.5</v>
      </c>
      <c r="AQ32" s="50">
        <f>SUM(AN32:AP32)</f>
        <v>264.8</v>
      </c>
      <c r="AS32" s="66"/>
    </row>
    <row r="33" spans="1:45" ht="26.4" x14ac:dyDescent="0.25">
      <c r="A33" s="278">
        <v>26</v>
      </c>
      <c r="B33" s="218" t="s">
        <v>108</v>
      </c>
      <c r="C33" s="54">
        <v>4</v>
      </c>
      <c r="D33" s="177">
        <v>8.4730000000000008</v>
      </c>
      <c r="E33" s="171">
        <f t="shared" si="29"/>
        <v>33.89</v>
      </c>
      <c r="F33" s="154">
        <f t="shared" si="21"/>
        <v>406.7</v>
      </c>
      <c r="G33" s="154"/>
      <c r="H33" s="154">
        <v>1.2</v>
      </c>
      <c r="I33" s="154"/>
      <c r="J33" s="154"/>
      <c r="K33" s="154">
        <f>D33*0.4*12+D33*0.35*12</f>
        <v>76.3</v>
      </c>
      <c r="L33" s="154">
        <f t="shared" si="4"/>
        <v>137.6</v>
      </c>
      <c r="M33" s="154">
        <f t="shared" si="22"/>
        <v>621.79999999999995</v>
      </c>
      <c r="N33" s="171">
        <v>0.47</v>
      </c>
      <c r="O33" s="154">
        <f t="shared" si="23"/>
        <v>292.2</v>
      </c>
      <c r="P33" s="154">
        <f t="shared" si="24"/>
        <v>914</v>
      </c>
      <c r="Q33" s="154">
        <f t="shared" si="25"/>
        <v>731.2</v>
      </c>
      <c r="R33" s="154">
        <f t="shared" si="26"/>
        <v>731.2</v>
      </c>
      <c r="S33" s="154">
        <f t="shared" si="27"/>
        <v>76</v>
      </c>
      <c r="T33" s="154">
        <f t="shared" si="28"/>
        <v>2452.4</v>
      </c>
      <c r="U33" s="1532"/>
      <c r="V33" s="154">
        <f t="shared" si="5"/>
        <v>2452.4</v>
      </c>
      <c r="W33" s="154">
        <f t="shared" si="20"/>
        <v>740.6</v>
      </c>
      <c r="X33" s="278">
        <v>1</v>
      </c>
      <c r="Y33" s="24">
        <v>30</v>
      </c>
      <c r="Z33" s="48">
        <f t="shared" si="30"/>
        <v>30</v>
      </c>
      <c r="AA33" s="54">
        <v>1</v>
      </c>
      <c r="AB33" s="24">
        <v>15</v>
      </c>
      <c r="AC33" s="48">
        <f t="shared" si="31"/>
        <v>15</v>
      </c>
      <c r="AD33" s="54"/>
      <c r="AE33" s="24">
        <v>30</v>
      </c>
      <c r="AF33" s="48">
        <f t="shared" si="32"/>
        <v>0</v>
      </c>
      <c r="AG33" s="278">
        <f t="shared" si="0"/>
        <v>13.5</v>
      </c>
      <c r="AH33" s="48">
        <f t="shared" si="33"/>
        <v>58.5</v>
      </c>
      <c r="AI33" s="34">
        <f t="shared" si="2"/>
        <v>51091.7</v>
      </c>
      <c r="AJ33" s="34"/>
      <c r="AK33" s="216">
        <f t="shared" si="3"/>
        <v>613.1</v>
      </c>
      <c r="AL33" s="216">
        <f t="shared" si="6"/>
        <v>229.1</v>
      </c>
      <c r="AM33" s="217">
        <v>0.30199999999999999</v>
      </c>
      <c r="AN33" s="223"/>
      <c r="AO33" s="62"/>
      <c r="AP33" s="62"/>
      <c r="AQ33" s="50">
        <f t="shared" si="7"/>
        <v>0</v>
      </c>
      <c r="AS33" s="66"/>
    </row>
    <row r="34" spans="1:45" ht="13.5" customHeight="1" x14ac:dyDescent="0.25">
      <c r="A34" s="278">
        <v>27</v>
      </c>
      <c r="B34" s="218" t="s">
        <v>56</v>
      </c>
      <c r="C34" s="57">
        <v>2</v>
      </c>
      <c r="D34" s="177">
        <v>11.061999999999999</v>
      </c>
      <c r="E34" s="171">
        <f t="shared" si="29"/>
        <v>22.12</v>
      </c>
      <c r="F34" s="154">
        <f t="shared" si="21"/>
        <v>265.39999999999998</v>
      </c>
      <c r="G34" s="154"/>
      <c r="H34" s="154">
        <v>1.1000000000000001</v>
      </c>
      <c r="I34" s="154"/>
      <c r="J34" s="154">
        <f>D34*0.1*2*12</f>
        <v>26.5</v>
      </c>
      <c r="K34" s="154">
        <f>D34*0.4*12+D34*0.25*12</f>
        <v>86.3</v>
      </c>
      <c r="L34" s="154">
        <f t="shared" si="4"/>
        <v>89.8</v>
      </c>
      <c r="M34" s="154">
        <f t="shared" si="22"/>
        <v>469.1</v>
      </c>
      <c r="N34" s="171">
        <v>0.43</v>
      </c>
      <c r="O34" s="154">
        <f t="shared" si="23"/>
        <v>201.7</v>
      </c>
      <c r="P34" s="154">
        <f t="shared" si="24"/>
        <v>670.8</v>
      </c>
      <c r="Q34" s="154">
        <f t="shared" si="25"/>
        <v>536.6</v>
      </c>
      <c r="R34" s="154">
        <f t="shared" si="26"/>
        <v>536.6</v>
      </c>
      <c r="S34" s="154">
        <f t="shared" si="27"/>
        <v>55.8</v>
      </c>
      <c r="T34" s="154">
        <f t="shared" si="28"/>
        <v>1799.8</v>
      </c>
      <c r="U34" s="1532"/>
      <c r="V34" s="154">
        <f t="shared" si="5"/>
        <v>1799.8</v>
      </c>
      <c r="W34" s="154">
        <f>AQ34*C34</f>
        <v>541.6</v>
      </c>
      <c r="X34" s="278">
        <v>2</v>
      </c>
      <c r="Y34" s="24">
        <v>30</v>
      </c>
      <c r="Z34" s="48">
        <f t="shared" si="30"/>
        <v>60</v>
      </c>
      <c r="AA34" s="54">
        <v>2</v>
      </c>
      <c r="AB34" s="24">
        <v>15</v>
      </c>
      <c r="AC34" s="48">
        <f t="shared" si="31"/>
        <v>30</v>
      </c>
      <c r="AD34" s="54"/>
      <c r="AE34" s="24">
        <v>30</v>
      </c>
      <c r="AF34" s="48">
        <f t="shared" si="32"/>
        <v>0</v>
      </c>
      <c r="AG34" s="278">
        <f t="shared" si="0"/>
        <v>27</v>
      </c>
      <c r="AH34" s="48">
        <f t="shared" si="33"/>
        <v>117</v>
      </c>
      <c r="AI34" s="34">
        <f t="shared" si="2"/>
        <v>74991.7</v>
      </c>
      <c r="AJ34" s="34"/>
      <c r="AK34" s="216">
        <f t="shared" si="3"/>
        <v>899.9</v>
      </c>
      <c r="AL34" s="216">
        <f t="shared" si="6"/>
        <v>281.3</v>
      </c>
      <c r="AM34" s="217">
        <v>0.30199999999999999</v>
      </c>
      <c r="AN34" s="221">
        <f>AK34*0.22</f>
        <v>198</v>
      </c>
      <c r="AO34" s="50">
        <f>865*0.029</f>
        <v>25.1</v>
      </c>
      <c r="AP34" s="50">
        <f>AK34*0.053</f>
        <v>47.7</v>
      </c>
      <c r="AQ34" s="50">
        <f>SUM(AN34:AP34)</f>
        <v>270.8</v>
      </c>
      <c r="AS34" s="66"/>
    </row>
    <row r="35" spans="1:45" x14ac:dyDescent="0.25">
      <c r="A35" s="278">
        <v>28</v>
      </c>
      <c r="B35" s="218" t="s">
        <v>101</v>
      </c>
      <c r="C35" s="57">
        <v>1</v>
      </c>
      <c r="D35" s="177">
        <v>11.061999999999999</v>
      </c>
      <c r="E35" s="171">
        <f>C35*D35</f>
        <v>11.06</v>
      </c>
      <c r="F35" s="154">
        <f t="shared" si="21"/>
        <v>132.69999999999999</v>
      </c>
      <c r="G35" s="154"/>
      <c r="H35" s="154">
        <v>4.8</v>
      </c>
      <c r="I35" s="154"/>
      <c r="J35" s="154"/>
      <c r="K35" s="154">
        <f>D35*0.25*12</f>
        <v>33.200000000000003</v>
      </c>
      <c r="L35" s="154">
        <f t="shared" si="4"/>
        <v>44.9</v>
      </c>
      <c r="M35" s="154">
        <f t="shared" si="22"/>
        <v>215.6</v>
      </c>
      <c r="N35" s="171">
        <v>0.43</v>
      </c>
      <c r="O35" s="154">
        <f t="shared" si="23"/>
        <v>92.7</v>
      </c>
      <c r="P35" s="154">
        <f t="shared" si="24"/>
        <v>308.3</v>
      </c>
      <c r="Q35" s="154">
        <f t="shared" si="25"/>
        <v>246.6</v>
      </c>
      <c r="R35" s="154">
        <f t="shared" si="26"/>
        <v>246.6</v>
      </c>
      <c r="S35" s="154">
        <f t="shared" si="27"/>
        <v>25.6</v>
      </c>
      <c r="T35" s="154">
        <f t="shared" si="28"/>
        <v>827.1</v>
      </c>
      <c r="U35" s="1532"/>
      <c r="V35" s="154">
        <f t="shared" si="5"/>
        <v>827.1</v>
      </c>
      <c r="W35" s="154">
        <f t="shared" si="20"/>
        <v>249.8</v>
      </c>
      <c r="X35" s="278">
        <v>1</v>
      </c>
      <c r="Y35" s="24">
        <v>30</v>
      </c>
      <c r="Z35" s="48">
        <f t="shared" si="30"/>
        <v>30</v>
      </c>
      <c r="AA35" s="54"/>
      <c r="AB35" s="24">
        <v>15</v>
      </c>
      <c r="AC35" s="48">
        <f t="shared" si="31"/>
        <v>0</v>
      </c>
      <c r="AD35" s="54"/>
      <c r="AE35" s="24">
        <v>30</v>
      </c>
      <c r="AF35" s="48">
        <f t="shared" si="32"/>
        <v>0</v>
      </c>
      <c r="AG35" s="278">
        <f t="shared" si="0"/>
        <v>9</v>
      </c>
      <c r="AH35" s="48">
        <f t="shared" si="33"/>
        <v>39</v>
      </c>
      <c r="AI35" s="34">
        <f t="shared" si="2"/>
        <v>68925</v>
      </c>
      <c r="AJ35" s="34"/>
      <c r="AK35" s="216">
        <f t="shared" si="3"/>
        <v>827.1</v>
      </c>
      <c r="AL35" s="216">
        <f t="shared" si="6"/>
        <v>268</v>
      </c>
      <c r="AM35" s="217">
        <v>0.30199999999999999</v>
      </c>
      <c r="AN35" s="62"/>
      <c r="AO35" s="62"/>
      <c r="AP35" s="62"/>
      <c r="AQ35" s="50">
        <f t="shared" si="7"/>
        <v>0</v>
      </c>
      <c r="AS35" s="66"/>
    </row>
    <row r="36" spans="1:45" x14ac:dyDescent="0.25">
      <c r="A36" s="278">
        <v>29</v>
      </c>
      <c r="B36" s="218" t="s">
        <v>33</v>
      </c>
      <c r="C36" s="57">
        <v>1</v>
      </c>
      <c r="D36" s="177">
        <v>8.4730000000000008</v>
      </c>
      <c r="E36" s="171">
        <f>C36*D36</f>
        <v>8.4700000000000006</v>
      </c>
      <c r="F36" s="154">
        <f t="shared" si="21"/>
        <v>101.6</v>
      </c>
      <c r="G36" s="154"/>
      <c r="H36" s="154">
        <v>2.9</v>
      </c>
      <c r="I36" s="154"/>
      <c r="J36" s="154"/>
      <c r="K36" s="154"/>
      <c r="L36" s="154">
        <f t="shared" si="4"/>
        <v>34.4</v>
      </c>
      <c r="M36" s="154">
        <f t="shared" si="22"/>
        <v>138.9</v>
      </c>
      <c r="N36" s="171">
        <v>0.41</v>
      </c>
      <c r="O36" s="154">
        <f t="shared" si="23"/>
        <v>56.9</v>
      </c>
      <c r="P36" s="154">
        <f t="shared" si="24"/>
        <v>195.8</v>
      </c>
      <c r="Q36" s="154">
        <f t="shared" si="25"/>
        <v>156.6</v>
      </c>
      <c r="R36" s="154">
        <f t="shared" si="26"/>
        <v>156.6</v>
      </c>
      <c r="S36" s="154">
        <f t="shared" si="27"/>
        <v>16.3</v>
      </c>
      <c r="T36" s="154">
        <f t="shared" si="28"/>
        <v>525.29999999999995</v>
      </c>
      <c r="U36" s="1532"/>
      <c r="V36" s="154">
        <f t="shared" si="5"/>
        <v>525.29999999999995</v>
      </c>
      <c r="W36" s="154">
        <f t="shared" si="20"/>
        <v>158.6</v>
      </c>
      <c r="X36" s="278"/>
      <c r="Y36" s="24">
        <v>30</v>
      </c>
      <c r="Z36" s="48">
        <f t="shared" si="30"/>
        <v>0</v>
      </c>
      <c r="AA36" s="54"/>
      <c r="AB36" s="24">
        <v>15</v>
      </c>
      <c r="AC36" s="48">
        <f t="shared" si="31"/>
        <v>0</v>
      </c>
      <c r="AD36" s="54"/>
      <c r="AE36" s="24">
        <v>30</v>
      </c>
      <c r="AF36" s="48">
        <f t="shared" si="32"/>
        <v>0</v>
      </c>
      <c r="AG36" s="278">
        <f t="shared" si="0"/>
        <v>0</v>
      </c>
      <c r="AH36" s="48">
        <f t="shared" si="33"/>
        <v>0</v>
      </c>
      <c r="AI36" s="34">
        <f t="shared" si="2"/>
        <v>43775</v>
      </c>
      <c r="AJ36" s="34"/>
      <c r="AK36" s="216">
        <f t="shared" si="3"/>
        <v>525.29999999999995</v>
      </c>
      <c r="AL36" s="216">
        <f t="shared" si="6"/>
        <v>213.1</v>
      </c>
      <c r="AM36" s="217">
        <v>0.30199999999999999</v>
      </c>
      <c r="AN36" s="76"/>
      <c r="AO36" s="76"/>
      <c r="AP36" s="76"/>
      <c r="AQ36" s="50">
        <f t="shared" si="7"/>
        <v>0</v>
      </c>
      <c r="AS36" s="66"/>
    </row>
    <row r="37" spans="1:45" ht="26.4" x14ac:dyDescent="0.25">
      <c r="A37" s="278">
        <v>30</v>
      </c>
      <c r="B37" s="218" t="s">
        <v>130</v>
      </c>
      <c r="C37" s="57">
        <v>1</v>
      </c>
      <c r="D37" s="177">
        <v>8.4730000000000008</v>
      </c>
      <c r="E37" s="171">
        <f>C37*D37</f>
        <v>8.4700000000000006</v>
      </c>
      <c r="F37" s="154">
        <f>E37*12</f>
        <v>101.6</v>
      </c>
      <c r="G37" s="154"/>
      <c r="H37" s="154"/>
      <c r="I37" s="154"/>
      <c r="J37" s="154"/>
      <c r="K37" s="154"/>
      <c r="L37" s="154">
        <f t="shared" si="4"/>
        <v>34.4</v>
      </c>
      <c r="M37" s="154">
        <f t="shared" si="22"/>
        <v>136</v>
      </c>
      <c r="N37" s="171">
        <v>0.47</v>
      </c>
      <c r="O37" s="154">
        <f t="shared" si="23"/>
        <v>63.9</v>
      </c>
      <c r="P37" s="154">
        <f t="shared" si="24"/>
        <v>199.9</v>
      </c>
      <c r="Q37" s="154">
        <f t="shared" si="25"/>
        <v>159.9</v>
      </c>
      <c r="R37" s="154">
        <f t="shared" si="26"/>
        <v>159.9</v>
      </c>
      <c r="S37" s="154">
        <f t="shared" si="27"/>
        <v>16.600000000000001</v>
      </c>
      <c r="T37" s="154">
        <f t="shared" si="28"/>
        <v>536.29999999999995</v>
      </c>
      <c r="U37" s="1532"/>
      <c r="V37" s="154">
        <f t="shared" si="5"/>
        <v>536.29999999999995</v>
      </c>
      <c r="W37" s="154">
        <f t="shared" si="20"/>
        <v>162</v>
      </c>
      <c r="X37" s="278"/>
      <c r="Y37" s="24">
        <v>30</v>
      </c>
      <c r="Z37" s="48">
        <f t="shared" si="30"/>
        <v>0</v>
      </c>
      <c r="AA37" s="54"/>
      <c r="AB37" s="24">
        <v>15</v>
      </c>
      <c r="AC37" s="48">
        <f t="shared" si="31"/>
        <v>0</v>
      </c>
      <c r="AD37" s="54"/>
      <c r="AE37" s="24">
        <v>30</v>
      </c>
      <c r="AF37" s="48">
        <f t="shared" si="32"/>
        <v>0</v>
      </c>
      <c r="AG37" s="278">
        <f t="shared" si="0"/>
        <v>0</v>
      </c>
      <c r="AH37" s="48">
        <f t="shared" si="33"/>
        <v>0</v>
      </c>
      <c r="AI37" s="34">
        <f>V37/11/C37*1000</f>
        <v>48754.5</v>
      </c>
      <c r="AJ37" s="34"/>
      <c r="AK37" s="216">
        <f t="shared" si="3"/>
        <v>536.29999999999995</v>
      </c>
      <c r="AL37" s="216">
        <f t="shared" si="6"/>
        <v>215.1</v>
      </c>
      <c r="AM37" s="217">
        <v>0.30199999999999999</v>
      </c>
      <c r="AN37" s="62"/>
      <c r="AO37" s="62"/>
      <c r="AP37" s="62"/>
      <c r="AQ37" s="50">
        <f t="shared" si="7"/>
        <v>0</v>
      </c>
      <c r="AS37" s="66"/>
    </row>
    <row r="38" spans="1:45" ht="26.4" x14ac:dyDescent="0.25">
      <c r="A38" s="278">
        <v>31</v>
      </c>
      <c r="B38" s="218" t="s">
        <v>109</v>
      </c>
      <c r="C38" s="57">
        <v>1</v>
      </c>
      <c r="D38" s="177">
        <v>4.4569999999999999</v>
      </c>
      <c r="E38" s="171">
        <f t="shared" si="29"/>
        <v>4.46</v>
      </c>
      <c r="F38" s="154">
        <f t="shared" si="21"/>
        <v>53.5</v>
      </c>
      <c r="G38" s="154"/>
      <c r="H38" s="154">
        <v>1.7</v>
      </c>
      <c r="I38" s="154"/>
      <c r="J38" s="154"/>
      <c r="K38" s="154"/>
      <c r="L38" s="154">
        <v>26</v>
      </c>
      <c r="M38" s="154">
        <f t="shared" si="22"/>
        <v>81.2</v>
      </c>
      <c r="N38" s="171">
        <v>0.61</v>
      </c>
      <c r="O38" s="154">
        <f t="shared" si="23"/>
        <v>49.5</v>
      </c>
      <c r="P38" s="154">
        <f t="shared" si="24"/>
        <v>130.69999999999999</v>
      </c>
      <c r="Q38" s="154">
        <f t="shared" si="25"/>
        <v>104.6</v>
      </c>
      <c r="R38" s="154">
        <f t="shared" si="26"/>
        <v>104.6</v>
      </c>
      <c r="S38" s="154">
        <f t="shared" si="27"/>
        <v>10.9</v>
      </c>
      <c r="T38" s="154">
        <f t="shared" si="28"/>
        <v>350.8</v>
      </c>
      <c r="U38" s="1532"/>
      <c r="V38" s="154">
        <f t="shared" si="5"/>
        <v>350.8</v>
      </c>
      <c r="W38" s="154">
        <f t="shared" si="20"/>
        <v>105.9</v>
      </c>
      <c r="X38" s="278">
        <v>1</v>
      </c>
      <c r="Y38" s="24">
        <v>30</v>
      </c>
      <c r="Z38" s="48">
        <f t="shared" si="30"/>
        <v>30</v>
      </c>
      <c r="AA38" s="278">
        <v>1</v>
      </c>
      <c r="AB38" s="24">
        <v>15</v>
      </c>
      <c r="AC38" s="48">
        <f t="shared" si="31"/>
        <v>15</v>
      </c>
      <c r="AD38" s="278"/>
      <c r="AE38" s="24">
        <v>30</v>
      </c>
      <c r="AF38" s="48">
        <f t="shared" si="32"/>
        <v>0</v>
      </c>
      <c r="AG38" s="278">
        <f t="shared" si="0"/>
        <v>13.5</v>
      </c>
      <c r="AH38" s="48">
        <f t="shared" si="33"/>
        <v>58.5</v>
      </c>
      <c r="AI38" s="34">
        <f>V38/12/C38*1000</f>
        <v>29233.3</v>
      </c>
      <c r="AJ38" s="34"/>
      <c r="AK38" s="216">
        <f t="shared" si="3"/>
        <v>350.8</v>
      </c>
      <c r="AL38" s="216">
        <f t="shared" si="6"/>
        <v>181.3</v>
      </c>
      <c r="AM38" s="217">
        <v>0.30199999999999999</v>
      </c>
      <c r="AN38" s="76"/>
      <c r="AO38" s="76"/>
      <c r="AP38" s="76"/>
      <c r="AQ38" s="50">
        <f t="shared" si="7"/>
        <v>0</v>
      </c>
      <c r="AS38" s="66"/>
    </row>
    <row r="39" spans="1:45" ht="15.75" customHeight="1" x14ac:dyDescent="0.25">
      <c r="A39" s="278">
        <v>32</v>
      </c>
      <c r="B39" s="218" t="s">
        <v>57</v>
      </c>
      <c r="C39" s="49">
        <f>2-0.5</f>
        <v>1.5</v>
      </c>
      <c r="D39" s="177">
        <v>4.3769999999999998</v>
      </c>
      <c r="E39" s="171">
        <f t="shared" si="29"/>
        <v>6.57</v>
      </c>
      <c r="F39" s="215">
        <f t="shared" si="21"/>
        <v>78.8</v>
      </c>
      <c r="G39" s="154"/>
      <c r="H39" s="154">
        <v>1.4</v>
      </c>
      <c r="I39" s="154"/>
      <c r="J39" s="154"/>
      <c r="K39" s="154"/>
      <c r="L39" s="154">
        <v>70</v>
      </c>
      <c r="M39" s="154">
        <f t="shared" si="22"/>
        <v>150.19999999999999</v>
      </c>
      <c r="N39" s="171">
        <v>0.49</v>
      </c>
      <c r="O39" s="154">
        <f t="shared" si="23"/>
        <v>73.599999999999994</v>
      </c>
      <c r="P39" s="154">
        <f t="shared" si="24"/>
        <v>223.8</v>
      </c>
      <c r="Q39" s="154">
        <f t="shared" si="25"/>
        <v>179</v>
      </c>
      <c r="R39" s="154">
        <f t="shared" si="26"/>
        <v>179</v>
      </c>
      <c r="S39" s="154">
        <f t="shared" si="27"/>
        <v>18.600000000000001</v>
      </c>
      <c r="T39" s="154">
        <f t="shared" si="28"/>
        <v>600.4</v>
      </c>
      <c r="U39" s="1532"/>
      <c r="V39" s="154">
        <f t="shared" si="5"/>
        <v>600.4</v>
      </c>
      <c r="W39" s="154">
        <f t="shared" si="20"/>
        <v>181.3</v>
      </c>
      <c r="X39" s="278"/>
      <c r="Y39" s="24">
        <v>30</v>
      </c>
      <c r="Z39" s="48">
        <f>X39*Y39</f>
        <v>0</v>
      </c>
      <c r="AA39" s="278"/>
      <c r="AB39" s="24">
        <v>15</v>
      </c>
      <c r="AC39" s="48">
        <f>AA39*AB39</f>
        <v>0</v>
      </c>
      <c r="AD39" s="278"/>
      <c r="AE39" s="24">
        <v>30</v>
      </c>
      <c r="AF39" s="48">
        <f t="shared" si="32"/>
        <v>0</v>
      </c>
      <c r="AG39" s="278">
        <f t="shared" si="0"/>
        <v>0</v>
      </c>
      <c r="AH39" s="48">
        <f t="shared" si="33"/>
        <v>0</v>
      </c>
      <c r="AI39" s="34">
        <f>V39/12/C39*1000</f>
        <v>33355.599999999999</v>
      </c>
      <c r="AJ39" s="34"/>
      <c r="AK39" s="216">
        <f t="shared" si="3"/>
        <v>400.3</v>
      </c>
      <c r="AL39" s="216">
        <f t="shared" si="6"/>
        <v>190.3</v>
      </c>
      <c r="AM39" s="217">
        <v>0.30199999999999999</v>
      </c>
      <c r="AN39" s="76"/>
      <c r="AO39" s="76"/>
      <c r="AP39" s="76"/>
      <c r="AQ39" s="50">
        <f t="shared" si="7"/>
        <v>0</v>
      </c>
      <c r="AS39" s="66"/>
    </row>
    <row r="40" spans="1:45" x14ac:dyDescent="0.25">
      <c r="A40" s="278">
        <v>33</v>
      </c>
      <c r="B40" s="218" t="s">
        <v>92</v>
      </c>
      <c r="C40" s="224">
        <v>1</v>
      </c>
      <c r="D40" s="177">
        <v>4.3769999999999998</v>
      </c>
      <c r="E40" s="171">
        <f t="shared" si="29"/>
        <v>4.38</v>
      </c>
      <c r="F40" s="154">
        <f t="shared" si="21"/>
        <v>52.6</v>
      </c>
      <c r="G40" s="154"/>
      <c r="H40" s="154">
        <f>2773.8/1000</f>
        <v>2.8</v>
      </c>
      <c r="I40" s="154"/>
      <c r="J40" s="154"/>
      <c r="K40" s="154"/>
      <c r="L40" s="154">
        <v>38.1</v>
      </c>
      <c r="M40" s="154">
        <f t="shared" si="22"/>
        <v>93.5</v>
      </c>
      <c r="N40" s="171">
        <v>0.47</v>
      </c>
      <c r="O40" s="154">
        <f t="shared" si="23"/>
        <v>43.9</v>
      </c>
      <c r="P40" s="154">
        <f t="shared" si="24"/>
        <v>137.4</v>
      </c>
      <c r="Q40" s="154">
        <f t="shared" si="25"/>
        <v>109.9</v>
      </c>
      <c r="R40" s="154">
        <f t="shared" si="26"/>
        <v>109.9</v>
      </c>
      <c r="S40" s="154">
        <f t="shared" si="27"/>
        <v>11.4</v>
      </c>
      <c r="T40" s="154">
        <f t="shared" si="28"/>
        <v>368.6</v>
      </c>
      <c r="U40" s="1532"/>
      <c r="V40" s="154">
        <f t="shared" si="5"/>
        <v>368.6</v>
      </c>
      <c r="W40" s="154">
        <f t="shared" si="20"/>
        <v>111.3</v>
      </c>
      <c r="X40" s="278">
        <v>1</v>
      </c>
      <c r="Y40" s="24">
        <v>30</v>
      </c>
      <c r="Z40" s="48">
        <f>X40*Y40</f>
        <v>30</v>
      </c>
      <c r="AA40" s="278"/>
      <c r="AB40" s="24">
        <v>15</v>
      </c>
      <c r="AC40" s="48">
        <f>AA40*AB40</f>
        <v>0</v>
      </c>
      <c r="AD40" s="278"/>
      <c r="AE40" s="24">
        <v>30</v>
      </c>
      <c r="AF40" s="48">
        <f t="shared" si="32"/>
        <v>0</v>
      </c>
      <c r="AG40" s="278">
        <f t="shared" si="0"/>
        <v>9</v>
      </c>
      <c r="AH40" s="48">
        <f t="shared" si="33"/>
        <v>39</v>
      </c>
      <c r="AI40" s="34">
        <f>V40/12/C40*1000</f>
        <v>30716.7</v>
      </c>
      <c r="AJ40" s="34"/>
      <c r="AK40" s="216">
        <f t="shared" si="3"/>
        <v>368.6</v>
      </c>
      <c r="AL40" s="216">
        <f t="shared" si="6"/>
        <v>184.6</v>
      </c>
      <c r="AM40" s="217">
        <v>0.30199999999999999</v>
      </c>
      <c r="AN40" s="76"/>
      <c r="AO40" s="76"/>
      <c r="AP40" s="76"/>
      <c r="AQ40" s="50">
        <f t="shared" si="7"/>
        <v>0</v>
      </c>
      <c r="AS40" s="66"/>
    </row>
    <row r="41" spans="1:45" x14ac:dyDescent="0.25">
      <c r="A41" s="278">
        <v>34</v>
      </c>
      <c r="B41" s="218" t="s">
        <v>102</v>
      </c>
      <c r="C41" s="58">
        <v>2</v>
      </c>
      <c r="D41" s="177">
        <v>4.3769999999999998</v>
      </c>
      <c r="E41" s="171">
        <f>C41*D41</f>
        <v>8.75</v>
      </c>
      <c r="F41" s="215">
        <f t="shared" si="21"/>
        <v>105</v>
      </c>
      <c r="G41" s="154"/>
      <c r="H41" s="154">
        <v>3.3</v>
      </c>
      <c r="I41" s="154"/>
      <c r="J41" s="154"/>
      <c r="K41" s="154"/>
      <c r="L41" s="154">
        <v>70</v>
      </c>
      <c r="M41" s="154">
        <f t="shared" si="22"/>
        <v>178.3</v>
      </c>
      <c r="N41" s="171">
        <v>0.49</v>
      </c>
      <c r="O41" s="154">
        <f t="shared" si="23"/>
        <v>87.4</v>
      </c>
      <c r="P41" s="154">
        <f t="shared" si="24"/>
        <v>265.7</v>
      </c>
      <c r="Q41" s="154">
        <f t="shared" si="25"/>
        <v>212.6</v>
      </c>
      <c r="R41" s="154">
        <f t="shared" si="26"/>
        <v>212.6</v>
      </c>
      <c r="S41" s="154">
        <f t="shared" si="27"/>
        <v>22.1</v>
      </c>
      <c r="T41" s="154">
        <f t="shared" si="28"/>
        <v>713</v>
      </c>
      <c r="U41" s="1532"/>
      <c r="V41" s="154">
        <f t="shared" si="5"/>
        <v>713</v>
      </c>
      <c r="W41" s="154">
        <f t="shared" si="20"/>
        <v>215.3</v>
      </c>
      <c r="X41" s="278">
        <v>1</v>
      </c>
      <c r="Y41" s="24">
        <v>30</v>
      </c>
      <c r="Z41" s="48">
        <f>X41*Y41</f>
        <v>30</v>
      </c>
      <c r="AA41" s="278"/>
      <c r="AB41" s="24">
        <v>15</v>
      </c>
      <c r="AC41" s="48">
        <f>AA41*AB41</f>
        <v>0</v>
      </c>
      <c r="AD41" s="278"/>
      <c r="AE41" s="24">
        <v>30</v>
      </c>
      <c r="AF41" s="48">
        <f t="shared" si="32"/>
        <v>0</v>
      </c>
      <c r="AG41" s="278">
        <f t="shared" si="0"/>
        <v>9</v>
      </c>
      <c r="AH41" s="48">
        <f t="shared" si="33"/>
        <v>39</v>
      </c>
      <c r="AI41" s="34">
        <f>V41/12/C41*1000</f>
        <v>29708.3</v>
      </c>
      <c r="AJ41" s="34"/>
      <c r="AK41" s="216">
        <f t="shared" si="3"/>
        <v>356.5</v>
      </c>
      <c r="AL41" s="216">
        <f t="shared" si="6"/>
        <v>182.4</v>
      </c>
      <c r="AM41" s="217">
        <v>0.30199999999999999</v>
      </c>
      <c r="AN41" s="76"/>
      <c r="AO41" s="76"/>
      <c r="AP41" s="76"/>
      <c r="AQ41" s="50">
        <f t="shared" si="7"/>
        <v>0</v>
      </c>
      <c r="AS41" s="66"/>
    </row>
    <row r="42" spans="1:45" x14ac:dyDescent="0.25">
      <c r="A42" s="225" t="s">
        <v>126</v>
      </c>
      <c r="B42" s="218"/>
      <c r="C42" s="58"/>
      <c r="D42" s="177"/>
      <c r="E42" s="171"/>
      <c r="F42" s="215"/>
      <c r="G42" s="154"/>
      <c r="H42" s="154"/>
      <c r="I42" s="154"/>
      <c r="J42" s="154"/>
      <c r="K42" s="154"/>
      <c r="L42" s="154"/>
      <c r="M42" s="154"/>
      <c r="N42" s="171"/>
      <c r="O42" s="154"/>
      <c r="P42" s="154"/>
      <c r="Q42" s="154"/>
      <c r="R42" s="154"/>
      <c r="S42" s="154"/>
      <c r="T42" s="154"/>
      <c r="U42" s="1532"/>
      <c r="V42" s="154"/>
      <c r="W42" s="154">
        <f t="shared" si="20"/>
        <v>0</v>
      </c>
      <c r="X42" s="278"/>
      <c r="Y42" s="24"/>
      <c r="Z42" s="48"/>
      <c r="AA42" s="278"/>
      <c r="AB42" s="24"/>
      <c r="AC42" s="48"/>
      <c r="AD42" s="278"/>
      <c r="AE42" s="24"/>
      <c r="AF42" s="48"/>
      <c r="AG42" s="278">
        <f t="shared" si="0"/>
        <v>0</v>
      </c>
      <c r="AH42" s="48"/>
      <c r="AJ42" s="34"/>
      <c r="AK42" s="216"/>
      <c r="AL42" s="216"/>
      <c r="AM42" s="217"/>
      <c r="AN42" s="76"/>
      <c r="AO42" s="76"/>
      <c r="AP42" s="76"/>
      <c r="AQ42" s="50">
        <f t="shared" si="7"/>
        <v>0</v>
      </c>
      <c r="AS42" s="66"/>
    </row>
    <row r="43" spans="1:45" x14ac:dyDescent="0.25">
      <c r="A43" s="278">
        <v>35</v>
      </c>
      <c r="B43" s="52" t="s">
        <v>17</v>
      </c>
      <c r="C43" s="278">
        <v>1</v>
      </c>
      <c r="D43" s="177">
        <v>12.335000000000001</v>
      </c>
      <c r="E43" s="226">
        <f>C43*D43</f>
        <v>12.34</v>
      </c>
      <c r="F43" s="227">
        <f>E43*12</f>
        <v>148.1</v>
      </c>
      <c r="G43" s="154"/>
      <c r="H43" s="154">
        <v>1.3</v>
      </c>
      <c r="I43" s="154"/>
      <c r="J43" s="154"/>
      <c r="K43" s="154">
        <f>F43*0.4</f>
        <v>59.2</v>
      </c>
      <c r="L43" s="154">
        <f t="shared" si="4"/>
        <v>50.1</v>
      </c>
      <c r="M43" s="154">
        <f>F43+G43+H43+I43+J43+K43+L43</f>
        <v>258.7</v>
      </c>
      <c r="N43" s="171">
        <v>0.47</v>
      </c>
      <c r="O43" s="154">
        <f>M43*N43</f>
        <v>121.6</v>
      </c>
      <c r="P43" s="154">
        <f>M43+O43</f>
        <v>380.3</v>
      </c>
      <c r="Q43" s="154">
        <f>P43*0.8</f>
        <v>304.2</v>
      </c>
      <c r="R43" s="154">
        <f>P43*0.8</f>
        <v>304.2</v>
      </c>
      <c r="S43" s="154">
        <f>(P43+Q43+R43)*0.032</f>
        <v>31.6</v>
      </c>
      <c r="T43" s="154">
        <f>P43+Q43+R43+S43</f>
        <v>1020.3</v>
      </c>
      <c r="U43" s="1532"/>
      <c r="V43" s="154">
        <f t="shared" si="5"/>
        <v>1020.3</v>
      </c>
      <c r="W43" s="154">
        <f>AQ43</f>
        <v>303.7</v>
      </c>
      <c r="X43" s="278">
        <v>1</v>
      </c>
      <c r="Y43" s="24">
        <v>35</v>
      </c>
      <c r="Z43" s="48">
        <f>X43*Y43</f>
        <v>35</v>
      </c>
      <c r="AA43" s="278"/>
      <c r="AB43" s="24">
        <v>17.5</v>
      </c>
      <c r="AC43" s="48">
        <f>AA43*AB43</f>
        <v>0</v>
      </c>
      <c r="AD43" s="278"/>
      <c r="AE43" s="24">
        <v>35</v>
      </c>
      <c r="AF43" s="48">
        <f>AD43*AE43</f>
        <v>0</v>
      </c>
      <c r="AG43" s="278">
        <f t="shared" si="0"/>
        <v>10.5</v>
      </c>
      <c r="AH43" s="48">
        <f>Z43+AC43+AF43+AG43</f>
        <v>45.5</v>
      </c>
      <c r="AI43" s="39">
        <f t="shared" ref="AI43:AI51" si="34">V43/12/C43*1000</f>
        <v>85025</v>
      </c>
      <c r="AJ43" s="34"/>
      <c r="AK43" s="34">
        <f t="shared" ref="AK43:AK51" si="35">V43/C43</f>
        <v>1020.3</v>
      </c>
      <c r="AL43" s="34">
        <f>((979*0.302)+((AK43-979)*0.182))</f>
        <v>303.2</v>
      </c>
      <c r="AM43" s="51">
        <f>AL43/AK43</f>
        <v>0.29699999999999999</v>
      </c>
      <c r="AN43" s="50">
        <f>AK43*0.22</f>
        <v>224.5</v>
      </c>
      <c r="AO43" s="50">
        <f>865*0.029</f>
        <v>25.1</v>
      </c>
      <c r="AP43" s="50">
        <f>AK43*0.053</f>
        <v>54.1</v>
      </c>
      <c r="AQ43" s="50">
        <f t="shared" si="7"/>
        <v>303.7</v>
      </c>
      <c r="AR43" s="51"/>
    </row>
    <row r="44" spans="1:45" x14ac:dyDescent="0.25">
      <c r="A44" s="278">
        <v>36</v>
      </c>
      <c r="B44" s="52" t="s">
        <v>38</v>
      </c>
      <c r="C44" s="167">
        <f>2-0.25</f>
        <v>1.75</v>
      </c>
      <c r="D44" s="177">
        <v>6.2859999999999996</v>
      </c>
      <c r="E44" s="171">
        <f t="shared" ref="E44:E51" si="36">C44*D44</f>
        <v>11</v>
      </c>
      <c r="F44" s="154">
        <f t="shared" ref="F44:F51" si="37">E44*12</f>
        <v>132</v>
      </c>
      <c r="G44" s="154">
        <f>74.5/1000</f>
        <v>0.1</v>
      </c>
      <c r="H44" s="154">
        <v>2</v>
      </c>
      <c r="I44" s="154"/>
      <c r="J44" s="154"/>
      <c r="K44" s="154"/>
      <c r="L44" s="154">
        <f t="shared" si="4"/>
        <v>44.7</v>
      </c>
      <c r="M44" s="154">
        <f t="shared" ref="M44:M51" si="38">F44+G44+H44+I44+J44+K44+L44</f>
        <v>178.8</v>
      </c>
      <c r="N44" s="171">
        <v>0.45</v>
      </c>
      <c r="O44" s="154">
        <f t="shared" ref="O44:O51" si="39">M44*N44</f>
        <v>80.5</v>
      </c>
      <c r="P44" s="154">
        <f t="shared" ref="P44:P51" si="40">M44+O44</f>
        <v>259.3</v>
      </c>
      <c r="Q44" s="154">
        <f t="shared" ref="Q44:Q51" si="41">P44*0.8</f>
        <v>207.4</v>
      </c>
      <c r="R44" s="154">
        <f t="shared" ref="R44:R51" si="42">P44*0.8</f>
        <v>207.4</v>
      </c>
      <c r="S44" s="154">
        <f t="shared" ref="S44:S51" si="43">(P44+Q44+R44)*0.032</f>
        <v>21.6</v>
      </c>
      <c r="T44" s="154">
        <f t="shared" ref="T44:T51" si="44">P44+Q44+R44+S44</f>
        <v>695.7</v>
      </c>
      <c r="U44" s="1532"/>
      <c r="V44" s="154">
        <f t="shared" si="5"/>
        <v>695.7</v>
      </c>
      <c r="W44" s="154">
        <f t="shared" si="20"/>
        <v>210.1</v>
      </c>
      <c r="X44" s="278">
        <v>1</v>
      </c>
      <c r="Y44" s="24">
        <v>35</v>
      </c>
      <c r="Z44" s="48">
        <f t="shared" ref="Z44:Z51" si="45">X44*Y44</f>
        <v>35</v>
      </c>
      <c r="AA44" s="54"/>
      <c r="AB44" s="24">
        <v>17.5</v>
      </c>
      <c r="AC44" s="48">
        <f t="shared" ref="AC44:AC51" si="46">AA44*AB44</f>
        <v>0</v>
      </c>
      <c r="AD44" s="54"/>
      <c r="AE44" s="24">
        <v>35</v>
      </c>
      <c r="AF44" s="48">
        <f t="shared" ref="AF44:AF51" si="47">AD44*AE44</f>
        <v>0</v>
      </c>
      <c r="AG44" s="278">
        <f t="shared" si="0"/>
        <v>10.5</v>
      </c>
      <c r="AH44" s="48">
        <f t="shared" ref="AH44:AH51" si="48">Z44+AC44+AF44+AG44</f>
        <v>45.5</v>
      </c>
      <c r="AI44" s="39">
        <f t="shared" si="34"/>
        <v>33128.57</v>
      </c>
      <c r="AJ44" s="34"/>
      <c r="AK44" s="34">
        <f t="shared" si="35"/>
        <v>397.5</v>
      </c>
      <c r="AL44" s="34">
        <f t="shared" ref="AL44:AL51" si="49">((979*0.302)+((AK44-979)*0.182))</f>
        <v>189.8</v>
      </c>
      <c r="AM44" s="51">
        <v>0.30199999999999999</v>
      </c>
      <c r="AN44" s="50"/>
      <c r="AO44" s="50"/>
      <c r="AP44" s="50"/>
      <c r="AQ44" s="50">
        <f t="shared" si="7"/>
        <v>0</v>
      </c>
      <c r="AR44" s="51"/>
    </row>
    <row r="45" spans="1:45" ht="12" customHeight="1" x14ac:dyDescent="0.25">
      <c r="A45" s="278">
        <v>37</v>
      </c>
      <c r="B45" s="44" t="s">
        <v>104</v>
      </c>
      <c r="C45" s="54">
        <v>1</v>
      </c>
      <c r="D45" s="177">
        <v>8.4730000000000008</v>
      </c>
      <c r="E45" s="171">
        <f t="shared" si="36"/>
        <v>8.4700000000000006</v>
      </c>
      <c r="F45" s="154">
        <f t="shared" si="37"/>
        <v>101.6</v>
      </c>
      <c r="G45" s="154"/>
      <c r="H45" s="154"/>
      <c r="I45" s="154"/>
      <c r="J45" s="154"/>
      <c r="K45" s="154"/>
      <c r="L45" s="154">
        <f t="shared" si="4"/>
        <v>34.4</v>
      </c>
      <c r="M45" s="154">
        <f t="shared" si="38"/>
        <v>136</v>
      </c>
      <c r="N45" s="171">
        <v>0.41</v>
      </c>
      <c r="O45" s="154">
        <f t="shared" si="39"/>
        <v>55.8</v>
      </c>
      <c r="P45" s="154">
        <f t="shared" si="40"/>
        <v>191.8</v>
      </c>
      <c r="Q45" s="154">
        <f t="shared" si="41"/>
        <v>153.4</v>
      </c>
      <c r="R45" s="154">
        <f t="shared" si="42"/>
        <v>153.4</v>
      </c>
      <c r="S45" s="154">
        <f t="shared" si="43"/>
        <v>16</v>
      </c>
      <c r="T45" s="154">
        <f t="shared" si="44"/>
        <v>514.6</v>
      </c>
      <c r="U45" s="1532"/>
      <c r="V45" s="154">
        <f t="shared" si="5"/>
        <v>514.6</v>
      </c>
      <c r="W45" s="154">
        <f t="shared" si="20"/>
        <v>155.4</v>
      </c>
      <c r="X45" s="278">
        <v>1</v>
      </c>
      <c r="Y45" s="24">
        <v>35</v>
      </c>
      <c r="Z45" s="48">
        <f t="shared" si="45"/>
        <v>35</v>
      </c>
      <c r="AA45" s="54"/>
      <c r="AB45" s="24">
        <v>17.5</v>
      </c>
      <c r="AC45" s="48">
        <f t="shared" si="46"/>
        <v>0</v>
      </c>
      <c r="AD45" s="54">
        <v>1</v>
      </c>
      <c r="AE45" s="24">
        <v>35</v>
      </c>
      <c r="AF45" s="48">
        <f t="shared" si="47"/>
        <v>35</v>
      </c>
      <c r="AG45" s="278">
        <f t="shared" si="0"/>
        <v>21</v>
      </c>
      <c r="AH45" s="48">
        <f t="shared" si="48"/>
        <v>91</v>
      </c>
      <c r="AI45" s="39">
        <f t="shared" si="34"/>
        <v>42883.33</v>
      </c>
      <c r="AJ45" s="34"/>
      <c r="AK45" s="34">
        <f t="shared" si="35"/>
        <v>514.6</v>
      </c>
      <c r="AL45" s="34">
        <f t="shared" si="49"/>
        <v>211.1</v>
      </c>
      <c r="AM45" s="51">
        <v>0.30199999999999999</v>
      </c>
      <c r="AN45" s="50"/>
      <c r="AO45" s="50"/>
      <c r="AP45" s="50"/>
      <c r="AQ45" s="50">
        <f t="shared" si="7"/>
        <v>0</v>
      </c>
      <c r="AR45" s="51"/>
    </row>
    <row r="46" spans="1:45" x14ac:dyDescent="0.25">
      <c r="A46" s="278">
        <v>38</v>
      </c>
      <c r="B46" s="52" t="s">
        <v>39</v>
      </c>
      <c r="C46" s="24">
        <v>0.5</v>
      </c>
      <c r="D46" s="177">
        <v>6.2859999999999996</v>
      </c>
      <c r="E46" s="171">
        <f t="shared" si="36"/>
        <v>3.14</v>
      </c>
      <c r="F46" s="154">
        <f t="shared" si="37"/>
        <v>37.700000000000003</v>
      </c>
      <c r="G46" s="154"/>
      <c r="H46" s="154">
        <f>1106.5/1000</f>
        <v>1.1000000000000001</v>
      </c>
      <c r="I46" s="154"/>
      <c r="J46" s="154"/>
      <c r="K46" s="154"/>
      <c r="L46" s="154">
        <f>F46*$L$4</f>
        <v>12.8</v>
      </c>
      <c r="M46" s="154">
        <f t="shared" si="38"/>
        <v>51.6</v>
      </c>
      <c r="N46" s="171">
        <v>0.45</v>
      </c>
      <c r="O46" s="154">
        <f t="shared" si="39"/>
        <v>23.2</v>
      </c>
      <c r="P46" s="154">
        <f t="shared" si="40"/>
        <v>74.8</v>
      </c>
      <c r="Q46" s="154">
        <f t="shared" si="41"/>
        <v>59.8</v>
      </c>
      <c r="R46" s="154">
        <f t="shared" si="42"/>
        <v>59.8</v>
      </c>
      <c r="S46" s="154">
        <f t="shared" si="43"/>
        <v>6.2</v>
      </c>
      <c r="T46" s="154">
        <f t="shared" si="44"/>
        <v>200.6</v>
      </c>
      <c r="U46" s="1532"/>
      <c r="V46" s="154">
        <f t="shared" si="5"/>
        <v>200.6</v>
      </c>
      <c r="W46" s="154">
        <f t="shared" si="20"/>
        <v>60.6</v>
      </c>
      <c r="X46" s="278"/>
      <c r="Y46" s="24">
        <v>35</v>
      </c>
      <c r="Z46" s="48">
        <f t="shared" si="45"/>
        <v>0</v>
      </c>
      <c r="AA46" s="54"/>
      <c r="AB46" s="24">
        <v>17.5</v>
      </c>
      <c r="AC46" s="48">
        <f t="shared" si="46"/>
        <v>0</v>
      </c>
      <c r="AD46" s="54"/>
      <c r="AE46" s="24">
        <v>35</v>
      </c>
      <c r="AF46" s="48">
        <f t="shared" si="47"/>
        <v>0</v>
      </c>
      <c r="AG46" s="278">
        <f t="shared" si="0"/>
        <v>0</v>
      </c>
      <c r="AH46" s="48">
        <f t="shared" si="48"/>
        <v>0</v>
      </c>
      <c r="AI46" s="39">
        <f t="shared" si="34"/>
        <v>33433.33</v>
      </c>
      <c r="AJ46" s="34"/>
      <c r="AK46" s="34">
        <f t="shared" si="35"/>
        <v>401.2</v>
      </c>
      <c r="AL46" s="34">
        <f t="shared" si="49"/>
        <v>190.5</v>
      </c>
      <c r="AM46" s="51">
        <v>0.30199999999999999</v>
      </c>
      <c r="AQ46" s="50">
        <f t="shared" si="7"/>
        <v>0</v>
      </c>
      <c r="AR46" s="51"/>
    </row>
    <row r="47" spans="1:45" x14ac:dyDescent="0.25">
      <c r="A47" s="278">
        <v>39</v>
      </c>
      <c r="B47" s="218" t="s">
        <v>40</v>
      </c>
      <c r="C47" s="54">
        <v>1</v>
      </c>
      <c r="D47" s="177">
        <v>11.061999999999999</v>
      </c>
      <c r="E47" s="171">
        <f t="shared" si="36"/>
        <v>11.06</v>
      </c>
      <c r="F47" s="154">
        <f t="shared" si="37"/>
        <v>132.69999999999999</v>
      </c>
      <c r="G47" s="228">
        <f>131.07/1000</f>
        <v>0.13</v>
      </c>
      <c r="H47" s="154">
        <v>2.1</v>
      </c>
      <c r="I47" s="154"/>
      <c r="J47" s="154"/>
      <c r="K47" s="154">
        <f>D47*2*0.2</f>
        <v>4.4000000000000004</v>
      </c>
      <c r="L47" s="154">
        <f t="shared" si="4"/>
        <v>44.9</v>
      </c>
      <c r="M47" s="154">
        <f t="shared" si="38"/>
        <v>184.2</v>
      </c>
      <c r="N47" s="171">
        <v>0.43</v>
      </c>
      <c r="O47" s="154">
        <f t="shared" si="39"/>
        <v>79.2</v>
      </c>
      <c r="P47" s="154">
        <f t="shared" si="40"/>
        <v>263.39999999999998</v>
      </c>
      <c r="Q47" s="154">
        <f t="shared" si="41"/>
        <v>210.7</v>
      </c>
      <c r="R47" s="154">
        <f t="shared" si="42"/>
        <v>210.7</v>
      </c>
      <c r="S47" s="154">
        <f t="shared" si="43"/>
        <v>21.9</v>
      </c>
      <c r="T47" s="154">
        <f t="shared" si="44"/>
        <v>706.7</v>
      </c>
      <c r="U47" s="1532"/>
      <c r="V47" s="154">
        <f t="shared" si="5"/>
        <v>706.7</v>
      </c>
      <c r="W47" s="154">
        <f t="shared" si="20"/>
        <v>213.4</v>
      </c>
      <c r="X47" s="278"/>
      <c r="Y47" s="24">
        <v>35</v>
      </c>
      <c r="Z47" s="48">
        <f t="shared" si="45"/>
        <v>0</v>
      </c>
      <c r="AA47" s="54"/>
      <c r="AB47" s="24">
        <v>17.5</v>
      </c>
      <c r="AC47" s="48">
        <f t="shared" si="46"/>
        <v>0</v>
      </c>
      <c r="AD47" s="54"/>
      <c r="AE47" s="24">
        <v>35</v>
      </c>
      <c r="AF47" s="48">
        <f t="shared" si="47"/>
        <v>0</v>
      </c>
      <c r="AG47" s="278">
        <f t="shared" si="0"/>
        <v>0</v>
      </c>
      <c r="AH47" s="48">
        <f t="shared" si="48"/>
        <v>0</v>
      </c>
      <c r="AI47" s="39">
        <f t="shared" si="34"/>
        <v>58891.67</v>
      </c>
      <c r="AJ47" s="34"/>
      <c r="AK47" s="34">
        <f t="shared" si="35"/>
        <v>706.7</v>
      </c>
      <c r="AL47" s="34">
        <f t="shared" si="49"/>
        <v>246.1</v>
      </c>
      <c r="AM47" s="51">
        <v>0.30199999999999999</v>
      </c>
      <c r="AN47" s="50"/>
      <c r="AO47" s="50"/>
      <c r="AP47" s="50"/>
      <c r="AQ47" s="50">
        <f t="shared" si="7"/>
        <v>0</v>
      </c>
      <c r="AR47" s="51"/>
    </row>
    <row r="48" spans="1:45" x14ac:dyDescent="0.25">
      <c r="A48" s="278">
        <v>40</v>
      </c>
      <c r="B48" s="218" t="s">
        <v>41</v>
      </c>
      <c r="C48" s="54">
        <v>1</v>
      </c>
      <c r="D48" s="177">
        <v>8.4730000000000008</v>
      </c>
      <c r="E48" s="171">
        <f t="shared" si="36"/>
        <v>8.4700000000000006</v>
      </c>
      <c r="F48" s="154">
        <f t="shared" si="37"/>
        <v>101.6</v>
      </c>
      <c r="G48" s="154">
        <f>100.4/1000</f>
        <v>0.1</v>
      </c>
      <c r="H48" s="154">
        <v>0.5</v>
      </c>
      <c r="I48" s="154"/>
      <c r="J48" s="154"/>
      <c r="K48" s="154">
        <f>D48*8.5*0.2</f>
        <v>14.4</v>
      </c>
      <c r="L48" s="154">
        <f t="shared" si="4"/>
        <v>34.4</v>
      </c>
      <c r="M48" s="154">
        <f t="shared" si="38"/>
        <v>151</v>
      </c>
      <c r="N48" s="171">
        <v>0.41</v>
      </c>
      <c r="O48" s="154">
        <f t="shared" si="39"/>
        <v>61.9</v>
      </c>
      <c r="P48" s="154">
        <f t="shared" si="40"/>
        <v>212.9</v>
      </c>
      <c r="Q48" s="154">
        <f t="shared" si="41"/>
        <v>170.3</v>
      </c>
      <c r="R48" s="154">
        <f t="shared" si="42"/>
        <v>170.3</v>
      </c>
      <c r="S48" s="154">
        <f t="shared" si="43"/>
        <v>17.7</v>
      </c>
      <c r="T48" s="154">
        <f t="shared" si="44"/>
        <v>571.20000000000005</v>
      </c>
      <c r="U48" s="1532"/>
      <c r="V48" s="154">
        <f t="shared" si="5"/>
        <v>571.20000000000005</v>
      </c>
      <c r="W48" s="154">
        <f t="shared" si="20"/>
        <v>172.5</v>
      </c>
      <c r="X48" s="278">
        <v>1</v>
      </c>
      <c r="Y48" s="24">
        <v>35</v>
      </c>
      <c r="Z48" s="48">
        <f t="shared" si="45"/>
        <v>35</v>
      </c>
      <c r="AA48" s="54"/>
      <c r="AB48" s="24">
        <v>17.5</v>
      </c>
      <c r="AC48" s="48">
        <f>AA48*AB48</f>
        <v>0</v>
      </c>
      <c r="AD48" s="54"/>
      <c r="AE48" s="24">
        <v>35</v>
      </c>
      <c r="AF48" s="48">
        <f t="shared" si="47"/>
        <v>0</v>
      </c>
      <c r="AG48" s="278">
        <f t="shared" si="0"/>
        <v>10.5</v>
      </c>
      <c r="AH48" s="48">
        <f t="shared" si="48"/>
        <v>45.5</v>
      </c>
      <c r="AI48" s="39">
        <f t="shared" si="34"/>
        <v>47600</v>
      </c>
      <c r="AJ48" s="34"/>
      <c r="AK48" s="34">
        <f t="shared" si="35"/>
        <v>571.20000000000005</v>
      </c>
      <c r="AL48" s="34">
        <f t="shared" si="49"/>
        <v>221.4</v>
      </c>
      <c r="AM48" s="51">
        <v>0.30199999999999999</v>
      </c>
      <c r="AN48" s="50"/>
      <c r="AO48" s="50"/>
      <c r="AP48" s="50"/>
      <c r="AQ48" s="50">
        <f t="shared" si="7"/>
        <v>0</v>
      </c>
      <c r="AR48" s="51"/>
    </row>
    <row r="49" spans="1:44" x14ac:dyDescent="0.25">
      <c r="A49" s="278">
        <v>41</v>
      </c>
      <c r="B49" s="218" t="s">
        <v>42</v>
      </c>
      <c r="C49" s="24">
        <v>0.5</v>
      </c>
      <c r="D49" s="213">
        <v>11.061999999999999</v>
      </c>
      <c r="E49" s="171">
        <f t="shared" si="36"/>
        <v>5.53</v>
      </c>
      <c r="F49" s="154">
        <f t="shared" si="37"/>
        <v>66.400000000000006</v>
      </c>
      <c r="G49" s="154">
        <f>65.5/1000</f>
        <v>0.1</v>
      </c>
      <c r="H49" s="154">
        <v>3</v>
      </c>
      <c r="I49" s="154"/>
      <c r="J49" s="154"/>
      <c r="K49" s="154"/>
      <c r="L49" s="154">
        <f t="shared" si="4"/>
        <v>22.5</v>
      </c>
      <c r="M49" s="154">
        <f t="shared" si="38"/>
        <v>92</v>
      </c>
      <c r="N49" s="171">
        <v>0.43</v>
      </c>
      <c r="O49" s="154">
        <f t="shared" si="39"/>
        <v>39.6</v>
      </c>
      <c r="P49" s="154">
        <f t="shared" si="40"/>
        <v>131.6</v>
      </c>
      <c r="Q49" s="154">
        <f t="shared" si="41"/>
        <v>105.3</v>
      </c>
      <c r="R49" s="154">
        <f t="shared" si="42"/>
        <v>105.3</v>
      </c>
      <c r="S49" s="154">
        <f t="shared" si="43"/>
        <v>11</v>
      </c>
      <c r="T49" s="154">
        <f t="shared" si="44"/>
        <v>353.2</v>
      </c>
      <c r="U49" s="1532"/>
      <c r="V49" s="154">
        <f t="shared" si="5"/>
        <v>353.2</v>
      </c>
      <c r="W49" s="154">
        <f t="shared" si="20"/>
        <v>106.7</v>
      </c>
      <c r="X49" s="278"/>
      <c r="Y49" s="24">
        <v>35</v>
      </c>
      <c r="Z49" s="48">
        <f t="shared" si="45"/>
        <v>0</v>
      </c>
      <c r="AA49" s="54"/>
      <c r="AB49" s="24">
        <v>17.5</v>
      </c>
      <c r="AC49" s="48">
        <f t="shared" si="46"/>
        <v>0</v>
      </c>
      <c r="AD49" s="54"/>
      <c r="AE49" s="24">
        <v>35</v>
      </c>
      <c r="AF49" s="48">
        <f t="shared" si="47"/>
        <v>0</v>
      </c>
      <c r="AG49" s="278">
        <f t="shared" si="0"/>
        <v>0</v>
      </c>
      <c r="AH49" s="48">
        <f t="shared" si="48"/>
        <v>0</v>
      </c>
      <c r="AI49" s="39">
        <f t="shared" si="34"/>
        <v>58866.67</v>
      </c>
      <c r="AJ49" s="34"/>
      <c r="AK49" s="34">
        <f t="shared" si="35"/>
        <v>706.4</v>
      </c>
      <c r="AL49" s="34">
        <f t="shared" si="49"/>
        <v>246</v>
      </c>
      <c r="AM49" s="51">
        <v>0.30199999999999999</v>
      </c>
      <c r="AO49" s="50"/>
      <c r="AP49" s="50"/>
      <c r="AQ49" s="50">
        <f t="shared" si="7"/>
        <v>0</v>
      </c>
      <c r="AR49" s="51"/>
    </row>
    <row r="50" spans="1:44" x14ac:dyDescent="0.25">
      <c r="A50" s="278">
        <v>42</v>
      </c>
      <c r="B50" s="52" t="s">
        <v>43</v>
      </c>
      <c r="C50" s="167">
        <v>0.25</v>
      </c>
      <c r="D50" s="177">
        <v>8.4730000000000008</v>
      </c>
      <c r="E50" s="171">
        <f t="shared" si="36"/>
        <v>2.12</v>
      </c>
      <c r="F50" s="154">
        <f t="shared" si="37"/>
        <v>25.4</v>
      </c>
      <c r="G50" s="154"/>
      <c r="H50" s="154"/>
      <c r="I50" s="154"/>
      <c r="J50" s="154"/>
      <c r="K50" s="154"/>
      <c r="L50" s="154">
        <f t="shared" si="4"/>
        <v>8.6</v>
      </c>
      <c r="M50" s="154">
        <f t="shared" si="38"/>
        <v>34</v>
      </c>
      <c r="N50" s="171">
        <v>0.41</v>
      </c>
      <c r="O50" s="154">
        <f t="shared" si="39"/>
        <v>13.9</v>
      </c>
      <c r="P50" s="154">
        <f t="shared" si="40"/>
        <v>47.9</v>
      </c>
      <c r="Q50" s="154">
        <f t="shared" si="41"/>
        <v>38.299999999999997</v>
      </c>
      <c r="R50" s="154">
        <f t="shared" si="42"/>
        <v>38.299999999999997</v>
      </c>
      <c r="S50" s="154">
        <f t="shared" si="43"/>
        <v>4</v>
      </c>
      <c r="T50" s="154">
        <f t="shared" si="44"/>
        <v>128.5</v>
      </c>
      <c r="U50" s="1532"/>
      <c r="V50" s="154">
        <f t="shared" si="5"/>
        <v>128.5</v>
      </c>
      <c r="W50" s="154">
        <f t="shared" si="20"/>
        <v>38.799999999999997</v>
      </c>
      <c r="X50" s="278"/>
      <c r="Y50" s="24">
        <v>35</v>
      </c>
      <c r="Z50" s="48">
        <f t="shared" si="45"/>
        <v>0</v>
      </c>
      <c r="AA50" s="54"/>
      <c r="AB50" s="24">
        <v>17.5</v>
      </c>
      <c r="AC50" s="48">
        <f t="shared" si="46"/>
        <v>0</v>
      </c>
      <c r="AD50" s="54"/>
      <c r="AE50" s="24">
        <v>35</v>
      </c>
      <c r="AF50" s="48">
        <f t="shared" si="47"/>
        <v>0</v>
      </c>
      <c r="AG50" s="278">
        <f t="shared" si="0"/>
        <v>0</v>
      </c>
      <c r="AH50" s="48">
        <f t="shared" si="48"/>
        <v>0</v>
      </c>
      <c r="AI50" s="39">
        <f t="shared" si="34"/>
        <v>42833.33</v>
      </c>
      <c r="AJ50" s="34"/>
      <c r="AK50" s="34">
        <f t="shared" si="35"/>
        <v>514</v>
      </c>
      <c r="AL50" s="34">
        <f t="shared" si="49"/>
        <v>211</v>
      </c>
      <c r="AM50" s="51">
        <v>0.30199999999999999</v>
      </c>
      <c r="AN50" s="50"/>
      <c r="AO50" s="50"/>
      <c r="AP50" s="50"/>
      <c r="AQ50" s="50">
        <f t="shared" si="7"/>
        <v>0</v>
      </c>
      <c r="AR50" s="51"/>
    </row>
    <row r="51" spans="1:44" x14ac:dyDescent="0.25">
      <c r="A51" s="278">
        <v>43</v>
      </c>
      <c r="B51" s="229" t="s">
        <v>44</v>
      </c>
      <c r="C51" s="179">
        <f>1-0.25</f>
        <v>0.75</v>
      </c>
      <c r="D51" s="213">
        <v>11.061999999999999</v>
      </c>
      <c r="E51" s="171">
        <f t="shared" si="36"/>
        <v>8.3000000000000007</v>
      </c>
      <c r="F51" s="154">
        <f t="shared" si="37"/>
        <v>99.6</v>
      </c>
      <c r="G51" s="154"/>
      <c r="H51" s="154">
        <v>2.4</v>
      </c>
      <c r="I51" s="154"/>
      <c r="J51" s="154"/>
      <c r="K51" s="154"/>
      <c r="L51" s="154">
        <f t="shared" si="4"/>
        <v>33.700000000000003</v>
      </c>
      <c r="M51" s="154">
        <f t="shared" si="38"/>
        <v>135.69999999999999</v>
      </c>
      <c r="N51" s="171">
        <v>0.43</v>
      </c>
      <c r="O51" s="154">
        <f t="shared" si="39"/>
        <v>58.4</v>
      </c>
      <c r="P51" s="154">
        <f t="shared" si="40"/>
        <v>194.1</v>
      </c>
      <c r="Q51" s="154">
        <f t="shared" si="41"/>
        <v>155.30000000000001</v>
      </c>
      <c r="R51" s="154">
        <f t="shared" si="42"/>
        <v>155.30000000000001</v>
      </c>
      <c r="S51" s="154">
        <f t="shared" si="43"/>
        <v>16.2</v>
      </c>
      <c r="T51" s="154">
        <f t="shared" si="44"/>
        <v>520.9</v>
      </c>
      <c r="U51" s="1532"/>
      <c r="V51" s="154">
        <f>T51*$U$9-0.3</f>
        <v>520.6</v>
      </c>
      <c r="W51" s="154">
        <f t="shared" si="20"/>
        <v>157.19999999999999</v>
      </c>
      <c r="X51" s="278"/>
      <c r="Y51" s="24">
        <v>35</v>
      </c>
      <c r="Z51" s="48">
        <f t="shared" si="45"/>
        <v>0</v>
      </c>
      <c r="AA51" s="54"/>
      <c r="AB51" s="24">
        <v>17.5</v>
      </c>
      <c r="AC51" s="48">
        <f t="shared" si="46"/>
        <v>0</v>
      </c>
      <c r="AD51" s="54"/>
      <c r="AE51" s="24">
        <v>35</v>
      </c>
      <c r="AF51" s="48">
        <f t="shared" si="47"/>
        <v>0</v>
      </c>
      <c r="AG51" s="278">
        <f t="shared" si="0"/>
        <v>0</v>
      </c>
      <c r="AH51" s="48">
        <f t="shared" si="48"/>
        <v>0</v>
      </c>
      <c r="AI51" s="39">
        <f t="shared" si="34"/>
        <v>57844.44</v>
      </c>
      <c r="AJ51" s="34"/>
      <c r="AK51" s="34">
        <f t="shared" si="35"/>
        <v>694.1</v>
      </c>
      <c r="AL51" s="34">
        <f t="shared" si="49"/>
        <v>243.8</v>
      </c>
      <c r="AM51" s="51">
        <v>0.30199999999999999</v>
      </c>
      <c r="AN51" s="50"/>
      <c r="AO51" s="50"/>
      <c r="AP51" s="50"/>
      <c r="AQ51" s="50">
        <f t="shared" si="7"/>
        <v>0</v>
      </c>
      <c r="AR51" s="51"/>
    </row>
    <row r="52" spans="1:44" s="33" customFormat="1" ht="20.25" customHeight="1" x14ac:dyDescent="0.25">
      <c r="A52" s="1545" t="s">
        <v>72</v>
      </c>
      <c r="B52" s="1545"/>
      <c r="C52" s="230">
        <f t="shared" ref="C52:AG52" si="50">SUM(C9:C51)</f>
        <v>59.75</v>
      </c>
      <c r="D52" s="231">
        <f t="shared" si="50"/>
        <v>419</v>
      </c>
      <c r="E52" s="231">
        <f t="shared" si="50"/>
        <v>591.79999999999995</v>
      </c>
      <c r="F52" s="231">
        <f t="shared" si="50"/>
        <v>7100.7</v>
      </c>
      <c r="G52" s="231">
        <f t="shared" si="50"/>
        <v>0.4</v>
      </c>
      <c r="H52" s="231">
        <f t="shared" si="50"/>
        <v>204.3</v>
      </c>
      <c r="I52" s="231">
        <f t="shared" si="50"/>
        <v>0</v>
      </c>
      <c r="J52" s="231">
        <f t="shared" si="50"/>
        <v>93.9</v>
      </c>
      <c r="K52" s="231">
        <f t="shared" si="50"/>
        <v>1647.5</v>
      </c>
      <c r="L52" s="231">
        <f t="shared" si="50"/>
        <v>2508.9</v>
      </c>
      <c r="M52" s="231">
        <f t="shared" si="50"/>
        <v>11555.7</v>
      </c>
      <c r="N52" s="231">
        <f t="shared" si="50"/>
        <v>19.100000000000001</v>
      </c>
      <c r="O52" s="231">
        <f t="shared" si="50"/>
        <v>5402.6</v>
      </c>
      <c r="P52" s="231">
        <f t="shared" si="50"/>
        <v>16958.3</v>
      </c>
      <c r="Q52" s="231">
        <f t="shared" si="50"/>
        <v>13566</v>
      </c>
      <c r="R52" s="231">
        <f t="shared" si="50"/>
        <v>13566</v>
      </c>
      <c r="S52" s="231">
        <f t="shared" si="50"/>
        <v>1410.9</v>
      </c>
      <c r="T52" s="231">
        <f t="shared" si="50"/>
        <v>45501.2</v>
      </c>
      <c r="U52" s="231">
        <f t="shared" si="50"/>
        <v>1</v>
      </c>
      <c r="V52" s="231">
        <f t="shared" si="50"/>
        <v>45500.9</v>
      </c>
      <c r="W52" s="231">
        <f t="shared" si="50"/>
        <v>13348.7</v>
      </c>
      <c r="X52" s="231">
        <f t="shared" si="50"/>
        <v>34</v>
      </c>
      <c r="Y52" s="231">
        <f t="shared" si="50"/>
        <v>1305</v>
      </c>
      <c r="Z52" s="231">
        <f t="shared" si="50"/>
        <v>1040</v>
      </c>
      <c r="AA52" s="231">
        <f t="shared" si="50"/>
        <v>17</v>
      </c>
      <c r="AB52" s="231">
        <f t="shared" si="50"/>
        <v>652.5</v>
      </c>
      <c r="AC52" s="231">
        <f t="shared" si="50"/>
        <v>255</v>
      </c>
      <c r="AD52" s="231">
        <f t="shared" si="50"/>
        <v>6</v>
      </c>
      <c r="AE52" s="231">
        <f t="shared" si="50"/>
        <v>1305</v>
      </c>
      <c r="AF52" s="231">
        <f t="shared" si="50"/>
        <v>185</v>
      </c>
      <c r="AG52" s="231">
        <f t="shared" si="50"/>
        <v>444</v>
      </c>
      <c r="AH52" s="231">
        <f>SUM(AH9:AH51)</f>
        <v>1924</v>
      </c>
      <c r="AN52" s="211"/>
      <c r="AO52" s="211"/>
      <c r="AP52" s="211"/>
      <c r="AQ52" s="50">
        <f t="shared" si="7"/>
        <v>0</v>
      </c>
    </row>
    <row r="53" spans="1:44" ht="17.25" customHeight="1" x14ac:dyDescent="0.25">
      <c r="G53" s="39"/>
      <c r="H53" s="39"/>
      <c r="I53" s="39"/>
      <c r="J53" s="39"/>
      <c r="K53" s="39"/>
      <c r="L53" s="232"/>
      <c r="M53" s="232"/>
      <c r="N53" s="232"/>
      <c r="O53" s="232"/>
      <c r="P53" s="232"/>
      <c r="Q53" s="39"/>
      <c r="R53" s="39"/>
      <c r="S53" s="39"/>
      <c r="T53" s="39"/>
      <c r="V53" s="34"/>
      <c r="W53" s="66"/>
      <c r="X53" s="39"/>
      <c r="AA53" s="39"/>
      <c r="AD53" s="39"/>
      <c r="AG53" s="39"/>
      <c r="AH53" s="39"/>
    </row>
    <row r="54" spans="1:44" s="75" customFormat="1" x14ac:dyDescent="0.25">
      <c r="A54" s="70"/>
      <c r="B54" s="70"/>
      <c r="C54" s="71"/>
      <c r="D54" s="72"/>
      <c r="E54" s="72"/>
      <c r="F54" s="72"/>
      <c r="G54" s="72"/>
      <c r="H54" s="73"/>
      <c r="I54" s="73"/>
      <c r="J54" s="27"/>
      <c r="K54" s="27"/>
      <c r="L54" s="27"/>
      <c r="M54" s="27"/>
      <c r="N54" s="74"/>
      <c r="O54" s="27"/>
      <c r="P54" s="27"/>
      <c r="Q54" s="27"/>
      <c r="R54" s="27"/>
      <c r="S54" s="27"/>
      <c r="T54" s="27"/>
      <c r="U54" s="27"/>
      <c r="V54" s="27"/>
      <c r="W54" s="27"/>
      <c r="X54" s="27"/>
      <c r="Y54" s="27"/>
      <c r="Z54" s="27"/>
      <c r="AA54" s="27"/>
      <c r="AB54" s="27"/>
      <c r="AC54" s="27"/>
      <c r="AD54" s="27"/>
      <c r="AE54" s="27"/>
      <c r="AF54" s="27"/>
      <c r="AG54" s="27"/>
      <c r="AH54" s="27"/>
      <c r="AI54" s="27"/>
      <c r="AJ54" s="76"/>
      <c r="AN54" s="76"/>
      <c r="AO54" s="76"/>
      <c r="AP54" s="76"/>
      <c r="AQ54" s="76"/>
      <c r="AR54" s="76"/>
    </row>
    <row r="55" spans="1:44" s="75" customFormat="1" ht="104.25" customHeight="1" x14ac:dyDescent="0.25">
      <c r="A55" s="70"/>
      <c r="B55" s="70"/>
      <c r="C55" s="71"/>
      <c r="D55" s="77"/>
      <c r="E55" s="77"/>
      <c r="F55" s="27"/>
      <c r="G55" s="1545" t="s">
        <v>140</v>
      </c>
      <c r="H55" s="1545"/>
      <c r="I55" s="1545" t="s">
        <v>144</v>
      </c>
      <c r="J55" s="1545"/>
      <c r="K55" s="1540" t="s">
        <v>145</v>
      </c>
      <c r="L55" s="1541"/>
      <c r="M55" s="1545" t="s">
        <v>128</v>
      </c>
      <c r="N55" s="1545"/>
      <c r="O55" s="70"/>
      <c r="P55" s="70"/>
      <c r="Q55" s="27"/>
      <c r="R55" s="27"/>
      <c r="S55" s="27"/>
      <c r="T55" s="27"/>
      <c r="U55" s="27"/>
      <c r="V55" s="27"/>
      <c r="W55" s="27"/>
      <c r="X55" s="27"/>
      <c r="Y55" s="27"/>
      <c r="Z55" s="27"/>
      <c r="AA55" s="27"/>
      <c r="AB55" s="27"/>
      <c r="AC55" s="27"/>
      <c r="AD55" s="27"/>
      <c r="AE55" s="27"/>
      <c r="AF55" s="27"/>
      <c r="AG55" s="27"/>
      <c r="AH55" s="27"/>
      <c r="AI55" s="27"/>
      <c r="AJ55" s="76"/>
      <c r="AN55" s="76"/>
      <c r="AO55" s="76"/>
      <c r="AP55" s="76"/>
      <c r="AQ55" s="76"/>
      <c r="AR55" s="76"/>
    </row>
    <row r="56" spans="1:44" s="75" customFormat="1" x14ac:dyDescent="0.25">
      <c r="A56" s="70"/>
      <c r="B56" s="70"/>
      <c r="C56" s="71"/>
      <c r="D56" s="77"/>
      <c r="E56" s="77"/>
      <c r="F56" s="27"/>
      <c r="G56" s="279">
        <v>991</v>
      </c>
      <c r="H56" s="279">
        <v>992</v>
      </c>
      <c r="I56" s="279">
        <v>991</v>
      </c>
      <c r="J56" s="279">
        <v>992</v>
      </c>
      <c r="K56" s="279">
        <v>991</v>
      </c>
      <c r="L56" s="279">
        <v>992</v>
      </c>
      <c r="M56" s="279">
        <v>991</v>
      </c>
      <c r="N56" s="279">
        <v>992</v>
      </c>
      <c r="O56" s="79"/>
      <c r="P56" s="79"/>
      <c r="Q56" s="27"/>
      <c r="R56" s="27"/>
      <c r="S56" s="27"/>
      <c r="T56" s="27"/>
      <c r="U56" s="27"/>
      <c r="V56" s="27"/>
      <c r="W56" s="27"/>
      <c r="X56" s="27"/>
      <c r="Y56" s="27"/>
      <c r="Z56" s="27"/>
      <c r="AA56" s="27"/>
      <c r="AB56" s="27"/>
      <c r="AC56" s="27"/>
      <c r="AD56" s="27"/>
      <c r="AE56" s="27"/>
      <c r="AF56" s="27"/>
      <c r="AG56" s="27"/>
      <c r="AH56" s="27"/>
      <c r="AI56" s="27"/>
      <c r="AJ56" s="76"/>
      <c r="AN56" s="76"/>
      <c r="AO56" s="76"/>
      <c r="AP56" s="76"/>
      <c r="AQ56" s="76"/>
      <c r="AR56" s="76"/>
    </row>
    <row r="57" spans="1:44" s="75" customFormat="1" x14ac:dyDescent="0.25">
      <c r="A57" s="70"/>
      <c r="B57" s="70"/>
      <c r="C57" s="71"/>
      <c r="D57" s="77"/>
      <c r="E57" s="77"/>
      <c r="F57" s="27"/>
      <c r="G57" s="29">
        <v>46179.199999999997</v>
      </c>
      <c r="H57" s="29">
        <v>13446.9</v>
      </c>
      <c r="I57" s="29">
        <f>245.4+176.6+93.6+162.7</f>
        <v>678.3</v>
      </c>
      <c r="J57" s="29">
        <f>74.1+53.3+28.3+49.1</f>
        <v>204.8</v>
      </c>
      <c r="K57" s="29">
        <f>V52</f>
        <v>45500.9</v>
      </c>
      <c r="L57" s="29">
        <f>W52</f>
        <v>13348.7</v>
      </c>
      <c r="M57" s="29">
        <f>G57-I57-K57</f>
        <v>0</v>
      </c>
      <c r="N57" s="29">
        <f>H57-J57-L57</f>
        <v>-106.6</v>
      </c>
      <c r="O57" s="80"/>
      <c r="P57" s="80"/>
      <c r="Q57" s="27"/>
      <c r="R57" s="27"/>
      <c r="S57" s="27"/>
      <c r="T57" s="27"/>
      <c r="U57" s="27"/>
      <c r="V57" s="27"/>
      <c r="W57" s="27"/>
      <c r="X57" s="27"/>
      <c r="Y57" s="27"/>
      <c r="Z57" s="27"/>
      <c r="AA57" s="27"/>
      <c r="AB57" s="27"/>
      <c r="AC57" s="27"/>
      <c r="AD57" s="27"/>
      <c r="AE57" s="27"/>
      <c r="AF57" s="27"/>
      <c r="AG57" s="27"/>
      <c r="AH57" s="27"/>
      <c r="AI57" s="27"/>
      <c r="AJ57" s="76"/>
      <c r="AN57" s="76"/>
      <c r="AO57" s="76"/>
      <c r="AP57" s="76"/>
      <c r="AQ57" s="76"/>
      <c r="AR57" s="76"/>
    </row>
    <row r="58" spans="1:44" s="75" customFormat="1" x14ac:dyDescent="0.25">
      <c r="A58" s="70"/>
      <c r="B58" s="70"/>
      <c r="C58" s="71"/>
      <c r="D58" s="77"/>
      <c r="E58" s="77"/>
      <c r="F58" s="27"/>
      <c r="G58" s="27"/>
      <c r="H58" s="73"/>
      <c r="I58" s="73"/>
      <c r="J58" s="27"/>
      <c r="K58" s="27"/>
      <c r="L58" s="27"/>
      <c r="M58" s="27"/>
      <c r="N58" s="74"/>
      <c r="O58" s="27"/>
      <c r="P58" s="27"/>
      <c r="Q58" s="27"/>
      <c r="R58" s="27"/>
      <c r="S58" s="27"/>
      <c r="T58" s="27"/>
      <c r="U58" s="27"/>
      <c r="V58" s="27"/>
      <c r="W58" s="27"/>
      <c r="X58" s="27"/>
      <c r="Y58" s="27"/>
      <c r="Z58" s="27"/>
      <c r="AA58" s="27"/>
      <c r="AB58" s="27"/>
      <c r="AC58" s="27"/>
      <c r="AD58" s="27"/>
      <c r="AE58" s="27"/>
      <c r="AF58" s="27"/>
      <c r="AG58" s="27"/>
      <c r="AH58" s="76"/>
      <c r="AM58" s="76"/>
      <c r="AN58" s="211"/>
      <c r="AO58" s="211"/>
      <c r="AP58" s="211"/>
      <c r="AQ58" s="211"/>
    </row>
    <row r="59" spans="1:44" s="282" customFormat="1" ht="21" x14ac:dyDescent="0.25">
      <c r="A59" s="81"/>
      <c r="B59" s="82" t="s">
        <v>138</v>
      </c>
      <c r="C59" s="83"/>
      <c r="D59" s="84"/>
      <c r="E59" s="84"/>
      <c r="F59" s="85"/>
      <c r="G59" s="85"/>
      <c r="H59" s="86"/>
      <c r="I59" s="86"/>
      <c r="J59" s="85"/>
      <c r="K59" s="30" t="s">
        <v>167</v>
      </c>
      <c r="L59" s="85"/>
      <c r="M59" s="85"/>
      <c r="N59" s="87"/>
      <c r="O59" s="85"/>
      <c r="P59" s="85"/>
      <c r="Q59" s="85"/>
      <c r="R59" s="85"/>
      <c r="S59" s="85"/>
      <c r="T59" s="85"/>
      <c r="U59" s="85"/>
      <c r="V59" s="85"/>
      <c r="W59" s="85"/>
      <c r="X59" s="85"/>
      <c r="Y59" s="85"/>
      <c r="Z59" s="85"/>
      <c r="AA59" s="85"/>
      <c r="AB59" s="85"/>
      <c r="AC59" s="85"/>
      <c r="AD59" s="85"/>
      <c r="AE59" s="85"/>
      <c r="AF59" s="85"/>
      <c r="AG59" s="85"/>
      <c r="AH59" s="85"/>
      <c r="AI59" s="85"/>
      <c r="AK59" s="88"/>
      <c r="AL59" s="88"/>
      <c r="AM59" s="88"/>
      <c r="AN59" s="88"/>
      <c r="AO59" s="88"/>
    </row>
    <row r="60" spans="1:44" s="75" customFormat="1" x14ac:dyDescent="0.25">
      <c r="A60" s="70"/>
      <c r="B60" s="70"/>
      <c r="C60" s="71"/>
      <c r="D60" s="77"/>
      <c r="E60" s="77"/>
      <c r="F60" s="27"/>
      <c r="G60" s="27"/>
      <c r="H60" s="73"/>
      <c r="I60" s="73"/>
      <c r="J60" s="27"/>
      <c r="K60" s="27"/>
      <c r="L60" s="27"/>
      <c r="M60" s="27"/>
      <c r="N60" s="74"/>
      <c r="O60" s="27"/>
      <c r="P60" s="27"/>
      <c r="Q60" s="27"/>
      <c r="R60" s="27"/>
      <c r="S60" s="27"/>
      <c r="T60" s="27"/>
      <c r="U60" s="27"/>
      <c r="V60" s="27"/>
      <c r="W60" s="27"/>
      <c r="X60" s="27"/>
      <c r="Y60" s="27"/>
      <c r="Z60" s="27"/>
      <c r="AA60" s="27"/>
      <c r="AB60" s="27"/>
      <c r="AC60" s="27"/>
      <c r="AD60" s="27"/>
      <c r="AE60" s="27"/>
      <c r="AF60" s="27"/>
      <c r="AG60" s="27"/>
      <c r="AH60" s="76"/>
      <c r="AM60" s="76"/>
      <c r="AN60" s="211"/>
      <c r="AO60" s="211"/>
      <c r="AP60" s="211"/>
      <c r="AQ60" s="211"/>
    </row>
    <row r="61" spans="1:44" s="75" customFormat="1" ht="20.25" customHeight="1" x14ac:dyDescent="0.25">
      <c r="A61" s="89" t="s">
        <v>96</v>
      </c>
      <c r="B61" s="89"/>
      <c r="C61" s="31"/>
      <c r="D61" s="31"/>
      <c r="E61" s="31"/>
      <c r="F61" s="31"/>
      <c r="G61" s="31"/>
      <c r="H61" s="31"/>
      <c r="I61" s="31"/>
      <c r="J61" s="31"/>
      <c r="K61" s="31"/>
      <c r="L61" s="90"/>
      <c r="M61" s="90"/>
      <c r="N61" s="91"/>
      <c r="O61" s="90"/>
      <c r="P61" s="90"/>
      <c r="Q61" s="90"/>
      <c r="R61" s="90"/>
      <c r="S61" s="90"/>
      <c r="T61" s="90"/>
      <c r="U61" s="90"/>
      <c r="V61" s="90"/>
      <c r="W61" s="90"/>
      <c r="X61" s="90"/>
      <c r="Y61" s="90"/>
      <c r="Z61" s="90"/>
      <c r="AA61" s="90"/>
      <c r="AB61" s="90"/>
      <c r="AC61" s="90"/>
      <c r="AD61" s="90"/>
      <c r="AE61" s="90"/>
      <c r="AF61" s="90"/>
      <c r="AG61" s="90"/>
      <c r="AH61" s="76"/>
      <c r="AM61" s="76"/>
      <c r="AN61" s="211"/>
      <c r="AO61" s="211"/>
      <c r="AP61" s="211"/>
      <c r="AQ61" s="211"/>
    </row>
    <row r="62" spans="1:44" s="75" customFormat="1" ht="20.25" customHeight="1" x14ac:dyDescent="0.25">
      <c r="A62" s="89" t="s">
        <v>139</v>
      </c>
      <c r="B62" s="92"/>
      <c r="C62" s="93"/>
      <c r="D62" s="93"/>
      <c r="E62" s="32"/>
      <c r="F62" s="32"/>
      <c r="G62" s="32"/>
      <c r="H62" s="32"/>
      <c r="I62" s="32"/>
      <c r="J62" s="32"/>
      <c r="K62" s="32"/>
      <c r="L62" s="90"/>
      <c r="M62" s="90"/>
      <c r="N62" s="90"/>
      <c r="O62" s="90"/>
      <c r="P62" s="90"/>
      <c r="Q62" s="90"/>
      <c r="R62" s="90"/>
      <c r="S62" s="90"/>
      <c r="T62" s="90"/>
      <c r="U62" s="90"/>
      <c r="V62" s="90"/>
      <c r="W62" s="90"/>
      <c r="X62" s="90"/>
      <c r="Y62" s="90"/>
      <c r="Z62" s="90"/>
      <c r="AA62" s="90"/>
      <c r="AB62" s="90"/>
      <c r="AC62" s="90"/>
      <c r="AD62" s="90"/>
      <c r="AE62" s="90"/>
      <c r="AF62" s="90"/>
      <c r="AG62" s="90"/>
      <c r="AH62" s="76"/>
      <c r="AM62" s="76"/>
      <c r="AN62" s="211"/>
      <c r="AO62" s="211"/>
      <c r="AP62" s="211"/>
      <c r="AQ62" s="211"/>
    </row>
    <row r="64" spans="1:44" hidden="1" x14ac:dyDescent="0.25">
      <c r="A64" s="278"/>
      <c r="B64" s="233" t="s">
        <v>121</v>
      </c>
      <c r="C64" s="233">
        <f t="shared" ref="C64:W64" si="51">C9+C10+C12</f>
        <v>3</v>
      </c>
      <c r="D64" s="233">
        <f t="shared" si="51"/>
        <v>61.43</v>
      </c>
      <c r="E64" s="183">
        <f t="shared" si="51"/>
        <v>61.44</v>
      </c>
      <c r="F64" s="233">
        <f t="shared" si="51"/>
        <v>737.2</v>
      </c>
      <c r="G64" s="233">
        <f t="shared" si="51"/>
        <v>0</v>
      </c>
      <c r="H64" s="233">
        <f t="shared" si="51"/>
        <v>8.6999999999999993</v>
      </c>
      <c r="I64" s="233">
        <f t="shared" si="51"/>
        <v>0</v>
      </c>
      <c r="J64" s="233">
        <f t="shared" si="51"/>
        <v>0</v>
      </c>
      <c r="K64" s="233">
        <f t="shared" si="51"/>
        <v>208.9</v>
      </c>
      <c r="L64" s="233">
        <f t="shared" si="51"/>
        <v>249.5</v>
      </c>
      <c r="M64" s="233">
        <f t="shared" si="51"/>
        <v>1204.3</v>
      </c>
      <c r="N64" s="233">
        <f t="shared" si="51"/>
        <v>1.92</v>
      </c>
      <c r="O64" s="233">
        <f t="shared" si="51"/>
        <v>838.4</v>
      </c>
      <c r="P64" s="233">
        <f t="shared" si="51"/>
        <v>2042.7</v>
      </c>
      <c r="Q64" s="233">
        <f t="shared" si="51"/>
        <v>1634.1</v>
      </c>
      <c r="R64" s="233">
        <f t="shared" si="51"/>
        <v>1634.1</v>
      </c>
      <c r="S64" s="233">
        <f t="shared" si="51"/>
        <v>170</v>
      </c>
      <c r="T64" s="233">
        <f t="shared" si="51"/>
        <v>5480.9</v>
      </c>
      <c r="U64" s="233">
        <f t="shared" si="51"/>
        <v>1</v>
      </c>
      <c r="V64" s="233">
        <f t="shared" si="51"/>
        <v>5480.9</v>
      </c>
      <c r="W64" s="233">
        <f t="shared" si="51"/>
        <v>1328</v>
      </c>
      <c r="X64" s="234">
        <f>V64+W64</f>
        <v>6808.9</v>
      </c>
    </row>
    <row r="65" spans="1:26" hidden="1" x14ac:dyDescent="0.25">
      <c r="A65" s="278"/>
      <c r="B65" s="233" t="s">
        <v>122</v>
      </c>
      <c r="C65" s="233" t="e">
        <f>C13+C14+#REF!+C15+C16+C17+C19+C20+C21+C22+C23+C24+C25+C26+C27+C28+C29+C30+C31+C32+C33+C34+C35+C36+C38+#REF!+C39+C40+C41</f>
        <v>#REF!</v>
      </c>
      <c r="D65" s="233" t="e">
        <f>D13+D14+#REF!+D15+D16+D17+D19+D20+D21+D22+D23+D24+D25+D26+D27+D28+D29+D30+D31+D32+D33+D34+D35+D36+D38+#REF!+D39+D40+D41</f>
        <v>#REF!</v>
      </c>
      <c r="E65" s="183" t="e">
        <f>E13+E14+#REF!+E15+E16+E17+E19+E20+E21+E22+E23+E24+E25+E26+E27+E28+E29+E30+E31+E32+E33+E34+E35+E36+E38+#REF!+E39+E40+E41</f>
        <v>#REF!</v>
      </c>
      <c r="F65" s="233" t="e">
        <f>F13+F14+#REF!+F15+F16+F17+F19+F20+F21+F22+F23+F24+F25+F26+F27+F28+F29+F30+F31+F32+F33+F34+F35+F36+F38+#REF!+F39+F40+F41</f>
        <v>#REF!</v>
      </c>
      <c r="G65" s="233" t="e">
        <f>G13+G14+#REF!+G15+G16+G17+G19+G20+G21+G22+G23+G24+G25+G26+G27+G28+G29+G30+G31+G32+G33+G34+G35+G36+G38+#REF!+G39+G40+G41</f>
        <v>#REF!</v>
      </c>
      <c r="H65" s="233" t="e">
        <f>H13+H14+#REF!+H15+H16+H17+H19+H20+H21+H22+H23+H24+H25+H26+H27+H28+H29+H30+H31+H32+H33+H34+H35+H36+H38+#REF!+H39+H40+H41</f>
        <v>#REF!</v>
      </c>
      <c r="I65" s="233" t="e">
        <f>I13+I14+#REF!+I15+I16+I17+I19+I20+I21+I22+I23+I24+I25+I26+I27+I28+I29+I30+I31+I32+I33+I34+I35+I36+I38+#REF!+I39+I40+I41</f>
        <v>#REF!</v>
      </c>
      <c r="J65" s="233" t="e">
        <f>J13+J14+#REF!+J15+J16+J17+J19+J20+J21+J22+J23+J24+J25+J26+J27+J28+J29+J30+J31+J32+J33+J34+J35+J36+J38+#REF!+J39+J40+J41</f>
        <v>#REF!</v>
      </c>
      <c r="K65" s="233" t="e">
        <f>K13+K14+#REF!+K15+K16+K17+K19+K20+K21+K22+K23+K24+K25+K26+K27+K28+K29+K30+K31+K32+K33+K34+K35+K36+K38+#REF!+K39+K40+K41</f>
        <v>#REF!</v>
      </c>
      <c r="L65" s="233" t="e">
        <f>L13+L14+#REF!+L15+L16+L17+L19+L20+L21+L22+L23+L24+L25+L26+L27+L28+L29+L30+L31+L32+L33+L34+L35+L36+L38+#REF!+L39+L40+L41</f>
        <v>#REF!</v>
      </c>
      <c r="M65" s="233" t="e">
        <f>M13+M14+#REF!+M15+M16+M17+M19+M20+M21+M22+M23+M24+M25+M26+M27+M28+M29+M30+M31+M32+M33+M34+M35+M36+M38+#REF!+M39+M40+M41</f>
        <v>#REF!</v>
      </c>
      <c r="N65" s="233" t="e">
        <f>N13+N14+#REF!+N15+N16+N17+N19+N20+N21+N22+N23+N24+N25+N26+N27+N28+N29+N30+N31+N32+N33+N34+N35+N36+N38+#REF!+N39+N40+N41</f>
        <v>#REF!</v>
      </c>
      <c r="O65" s="233" t="e">
        <f>O13+O14+#REF!+O15+O16+O17+O19+O20+O21+O22+O23+O24+O25+O26+O27+O28+O29+O30+O31+O32+O33+O34+O35+O36+O38+#REF!+O39+O40+O41</f>
        <v>#REF!</v>
      </c>
      <c r="P65" s="233" t="e">
        <f>P13+P14+#REF!+P15+P16+P17+P19+P20+P21+P22+P23+P24+P25+P26+P27+P28+P29+P30+P31+P32+P33+P34+P35+P36+P38+#REF!+P39+P40+P41</f>
        <v>#REF!</v>
      </c>
      <c r="Q65" s="233" t="e">
        <f>Q13+Q14+#REF!+Q15+Q16+Q17+Q19+Q20+Q21+Q22+Q23+Q24+Q25+Q26+Q27+Q28+Q29+Q30+Q31+Q32+Q33+Q34+Q35+Q36+Q38+#REF!+Q39+Q40+Q41</f>
        <v>#REF!</v>
      </c>
      <c r="R65" s="233" t="e">
        <f>R13+R14+#REF!+R15+R16+R17+R19+R20+R21+R22+R23+R24+R25+R26+R27+R28+R29+R30+R31+R32+R33+R34+R35+R36+R38+#REF!+R39+R40+R41</f>
        <v>#REF!</v>
      </c>
      <c r="S65" s="233" t="e">
        <f>S13+S14+#REF!+S15+S16+S17+S19+S20+S21+S22+S23+S24+S25+S26+S27+S28+S29+S30+S31+S32+S33+S34+S35+S36+S38+#REF!+S39+S40+S41</f>
        <v>#REF!</v>
      </c>
      <c r="T65" s="233" t="e">
        <f>T13+T14+#REF!+T15+T16+T17+T19+T20+T21+T22+T23+T24+T25+T26+T27+T28+T29+T30+T31+T32+T33+T34+T35+T36+T38+#REF!+T39+T40+T41</f>
        <v>#REF!</v>
      </c>
      <c r="U65" s="233" t="e">
        <f>U13+U14+#REF!+U15+U16+U17+U19+U20+U21+U22+U23+U24+U25+U26+U27+U28+U29+U30+U31+U32+U33+U34+U35+U36+U38+#REF!+U39+U40+U41</f>
        <v>#REF!</v>
      </c>
      <c r="V65" s="233" t="e">
        <f>V13+V14+#REF!+V15+V16+V17+V19+V20+V21+V22+V23+V24+V25+V26+V27+V28+V29+V30+V31+V32+V33+V34+V35+V36+V38+#REF!+V39+V40+V41</f>
        <v>#REF!</v>
      </c>
      <c r="W65" s="233" t="e">
        <f>W13+W14+#REF!+W15+W16+W17+W19+W20+W21+W22+W23+W24+W25+W26+W27+W28+W29+W30+W31+W32+W33+W34+W35+W36+W38+#REF!+W39+W40+W41</f>
        <v>#REF!</v>
      </c>
      <c r="X65" s="234" t="e">
        <f>V65+W65</f>
        <v>#REF!</v>
      </c>
    </row>
    <row r="66" spans="1:26" hidden="1" x14ac:dyDescent="0.25">
      <c r="A66" s="278"/>
      <c r="B66" s="233" t="s">
        <v>123</v>
      </c>
      <c r="C66" s="233" t="e">
        <f>C11+C18+#REF!</f>
        <v>#REF!</v>
      </c>
      <c r="D66" s="233" t="e">
        <f>D11+D18+#REF!</f>
        <v>#REF!</v>
      </c>
      <c r="E66" s="183" t="e">
        <f>E11+E18+#REF!</f>
        <v>#REF!</v>
      </c>
      <c r="F66" s="233" t="e">
        <f>F11+F18+#REF!</f>
        <v>#REF!</v>
      </c>
      <c r="G66" s="233" t="e">
        <f>G11+G18+#REF!</f>
        <v>#REF!</v>
      </c>
      <c r="H66" s="233" t="e">
        <f>H11+H18+#REF!</f>
        <v>#REF!</v>
      </c>
      <c r="I66" s="233" t="e">
        <f>I11+I18+#REF!</f>
        <v>#REF!</v>
      </c>
      <c r="J66" s="233" t="e">
        <f>J11+J18+#REF!</f>
        <v>#REF!</v>
      </c>
      <c r="K66" s="233" t="e">
        <f>K11+K18+#REF!</f>
        <v>#REF!</v>
      </c>
      <c r="L66" s="233" t="e">
        <f>L11+L18+#REF!</f>
        <v>#REF!</v>
      </c>
      <c r="M66" s="233" t="e">
        <f>M11+M18+#REF!</f>
        <v>#REF!</v>
      </c>
      <c r="N66" s="233" t="e">
        <f>N11+N18+#REF!</f>
        <v>#REF!</v>
      </c>
      <c r="O66" s="233" t="e">
        <f>O11+O18+#REF!</f>
        <v>#REF!</v>
      </c>
      <c r="P66" s="233" t="e">
        <f>P11+P18+#REF!</f>
        <v>#REF!</v>
      </c>
      <c r="Q66" s="233" t="e">
        <f>Q11+Q18+#REF!</f>
        <v>#REF!</v>
      </c>
      <c r="R66" s="233" t="e">
        <f>R11+R18+#REF!</f>
        <v>#REF!</v>
      </c>
      <c r="S66" s="233" t="e">
        <f>S11+S18+#REF!</f>
        <v>#REF!</v>
      </c>
      <c r="T66" s="233" t="e">
        <f>T11+T18+#REF!</f>
        <v>#REF!</v>
      </c>
      <c r="U66" s="233" t="e">
        <f>U11+U18+#REF!</f>
        <v>#REF!</v>
      </c>
      <c r="V66" s="233" t="e">
        <f>V11+V18+#REF!</f>
        <v>#REF!</v>
      </c>
      <c r="W66" s="233" t="e">
        <f>W11+W18+#REF!</f>
        <v>#REF!</v>
      </c>
      <c r="X66" s="234" t="e">
        <f>V66+W66</f>
        <v>#REF!</v>
      </c>
    </row>
    <row r="67" spans="1:26" hidden="1" x14ac:dyDescent="0.25">
      <c r="A67" s="278"/>
      <c r="B67" s="233"/>
      <c r="C67" s="233" t="e">
        <f>C64+C65+C66</f>
        <v>#REF!</v>
      </c>
      <c r="D67" s="233" t="e">
        <f t="shared" ref="D67:W67" si="52">D64+D65+D66</f>
        <v>#REF!</v>
      </c>
      <c r="E67" s="183" t="e">
        <f t="shared" si="52"/>
        <v>#REF!</v>
      </c>
      <c r="F67" s="233" t="e">
        <f t="shared" si="52"/>
        <v>#REF!</v>
      </c>
      <c r="G67" s="233" t="e">
        <f t="shared" si="52"/>
        <v>#REF!</v>
      </c>
      <c r="H67" s="233" t="e">
        <f t="shared" si="52"/>
        <v>#REF!</v>
      </c>
      <c r="I67" s="233" t="e">
        <f t="shared" si="52"/>
        <v>#REF!</v>
      </c>
      <c r="J67" s="233" t="e">
        <f t="shared" si="52"/>
        <v>#REF!</v>
      </c>
      <c r="K67" s="233" t="e">
        <f t="shared" si="52"/>
        <v>#REF!</v>
      </c>
      <c r="L67" s="233" t="e">
        <f t="shared" si="52"/>
        <v>#REF!</v>
      </c>
      <c r="M67" s="233" t="e">
        <f t="shared" si="52"/>
        <v>#REF!</v>
      </c>
      <c r="N67" s="233" t="e">
        <f t="shared" si="52"/>
        <v>#REF!</v>
      </c>
      <c r="O67" s="233" t="e">
        <f t="shared" si="52"/>
        <v>#REF!</v>
      </c>
      <c r="P67" s="233" t="e">
        <f t="shared" si="52"/>
        <v>#REF!</v>
      </c>
      <c r="Q67" s="233" t="e">
        <f t="shared" si="52"/>
        <v>#REF!</v>
      </c>
      <c r="R67" s="233" t="e">
        <f t="shared" si="52"/>
        <v>#REF!</v>
      </c>
      <c r="S67" s="233" t="e">
        <f t="shared" si="52"/>
        <v>#REF!</v>
      </c>
      <c r="T67" s="233" t="e">
        <f t="shared" si="52"/>
        <v>#REF!</v>
      </c>
      <c r="U67" s="233" t="e">
        <f t="shared" si="52"/>
        <v>#REF!</v>
      </c>
      <c r="V67" s="233" t="e">
        <f t="shared" si="52"/>
        <v>#REF!</v>
      </c>
      <c r="W67" s="233" t="e">
        <f t="shared" si="52"/>
        <v>#REF!</v>
      </c>
      <c r="X67" s="234" t="e">
        <f>V67+W67</f>
        <v>#REF!</v>
      </c>
      <c r="Y67" s="22" t="e">
        <f>V67+#REF!</f>
        <v>#REF!</v>
      </c>
      <c r="Z67" s="22" t="e">
        <f>W67+#REF!</f>
        <v>#REF!</v>
      </c>
    </row>
    <row r="68" spans="1:26" hidden="1" x14ac:dyDescent="0.25">
      <c r="A68" s="278"/>
      <c r="B68" s="233"/>
      <c r="C68" s="233"/>
      <c r="D68" s="233"/>
      <c r="E68" s="183"/>
      <c r="F68" s="233"/>
      <c r="G68" s="233"/>
      <c r="H68" s="233"/>
      <c r="I68" s="233"/>
      <c r="J68" s="233"/>
      <c r="K68" s="233"/>
      <c r="L68" s="233"/>
      <c r="M68" s="233"/>
      <c r="N68" s="233"/>
      <c r="O68" s="233"/>
      <c r="P68" s="233"/>
      <c r="Q68" s="233"/>
      <c r="R68" s="233"/>
      <c r="S68" s="233"/>
      <c r="T68" s="233"/>
      <c r="U68" s="233"/>
      <c r="V68" s="233"/>
      <c r="W68" s="233"/>
      <c r="X68" s="233"/>
    </row>
    <row r="69" spans="1:26" hidden="1" x14ac:dyDescent="0.25">
      <c r="E69" s="51"/>
    </row>
    <row r="70" spans="1:26" hidden="1" x14ac:dyDescent="0.25">
      <c r="E70" s="51"/>
    </row>
    <row r="71" spans="1:26" hidden="1" x14ac:dyDescent="0.25">
      <c r="E71" s="51"/>
    </row>
    <row r="72" spans="1:26" hidden="1" x14ac:dyDescent="0.25">
      <c r="E72" s="51"/>
    </row>
    <row r="73" spans="1:26" hidden="1" x14ac:dyDescent="0.25">
      <c r="E73" s="51"/>
    </row>
    <row r="74" spans="1:26" hidden="1" x14ac:dyDescent="0.25">
      <c r="E74" s="51"/>
    </row>
    <row r="75" spans="1:26" hidden="1" x14ac:dyDescent="0.25">
      <c r="E75" s="51"/>
    </row>
    <row r="76" spans="1:26" x14ac:dyDescent="0.25">
      <c r="E76" s="51"/>
    </row>
    <row r="77" spans="1:26" x14ac:dyDescent="0.25">
      <c r="E77" s="51"/>
    </row>
    <row r="78" spans="1:26" x14ac:dyDescent="0.25">
      <c r="E78" s="51"/>
    </row>
    <row r="79" spans="1:26" x14ac:dyDescent="0.25">
      <c r="E79" s="51"/>
    </row>
    <row r="80" spans="1:26" x14ac:dyDescent="0.25">
      <c r="E80" s="51"/>
    </row>
    <row r="81" spans="5:5" x14ac:dyDescent="0.25">
      <c r="E81" s="51"/>
    </row>
    <row r="82" spans="5:5" x14ac:dyDescent="0.25">
      <c r="E82" s="51"/>
    </row>
    <row r="83" spans="5:5" x14ac:dyDescent="0.25">
      <c r="E83" s="51"/>
    </row>
    <row r="84" spans="5:5" x14ac:dyDescent="0.25">
      <c r="E84" s="51"/>
    </row>
    <row r="85" spans="5:5" x14ac:dyDescent="0.25">
      <c r="E85" s="51"/>
    </row>
    <row r="86" spans="5:5" x14ac:dyDescent="0.25">
      <c r="E86" s="51"/>
    </row>
    <row r="87" spans="5:5" x14ac:dyDescent="0.25">
      <c r="E87" s="51"/>
    </row>
    <row r="88" spans="5:5" x14ac:dyDescent="0.25">
      <c r="E88" s="51"/>
    </row>
    <row r="89" spans="5:5" x14ac:dyDescent="0.25">
      <c r="E89" s="51"/>
    </row>
    <row r="90" spans="5:5" x14ac:dyDescent="0.25">
      <c r="E90" s="51"/>
    </row>
    <row r="91" spans="5:5" x14ac:dyDescent="0.25">
      <c r="E91" s="51"/>
    </row>
    <row r="92" spans="5:5" x14ac:dyDescent="0.25">
      <c r="E92" s="51"/>
    </row>
    <row r="93" spans="5:5" x14ac:dyDescent="0.25">
      <c r="E93" s="51"/>
    </row>
    <row r="94" spans="5:5" x14ac:dyDescent="0.25">
      <c r="E94" s="51"/>
    </row>
    <row r="95" spans="5:5" x14ac:dyDescent="0.25">
      <c r="E95" s="51"/>
    </row>
    <row r="96" spans="5:5" x14ac:dyDescent="0.25">
      <c r="E96" s="51"/>
    </row>
    <row r="97" spans="5:5" x14ac:dyDescent="0.25">
      <c r="E97" s="51"/>
    </row>
    <row r="98" spans="5:5" x14ac:dyDescent="0.25">
      <c r="E98" s="51"/>
    </row>
    <row r="99" spans="5:5" x14ac:dyDescent="0.25">
      <c r="E99" s="51"/>
    </row>
    <row r="100" spans="5:5" x14ac:dyDescent="0.25">
      <c r="E100" s="51"/>
    </row>
    <row r="101" spans="5:5" x14ac:dyDescent="0.25">
      <c r="E101" s="51"/>
    </row>
    <row r="102" spans="5:5" x14ac:dyDescent="0.25">
      <c r="E102" s="51"/>
    </row>
    <row r="103" spans="5:5" x14ac:dyDescent="0.25">
      <c r="E103" s="51"/>
    </row>
    <row r="104" spans="5:5" x14ac:dyDescent="0.25">
      <c r="E104" s="51"/>
    </row>
    <row r="105" spans="5:5" x14ac:dyDescent="0.25">
      <c r="E105" s="51"/>
    </row>
  </sheetData>
  <autoFilter ref="A8:AS57"/>
  <mergeCells count="38">
    <mergeCell ref="AD6:AF6"/>
    <mergeCell ref="Q6:Q7"/>
    <mergeCell ref="G55:H55"/>
    <mergeCell ref="I55:J55"/>
    <mergeCell ref="K55:L55"/>
    <mergeCell ref="M55:N55"/>
    <mergeCell ref="U9:U51"/>
    <mergeCell ref="A52:B52"/>
    <mergeCell ref="S6:S7"/>
    <mergeCell ref="T6:T7"/>
    <mergeCell ref="U6:U7"/>
    <mergeCell ref="F6:F7"/>
    <mergeCell ref="G6:G7"/>
    <mergeCell ref="H6:H7"/>
    <mergeCell ref="I6:I7"/>
    <mergeCell ref="J6:J7"/>
    <mergeCell ref="L6:L7"/>
    <mergeCell ref="M6:M7"/>
    <mergeCell ref="N6:O6"/>
    <mergeCell ref="P6:P7"/>
    <mergeCell ref="R6:R7"/>
    <mergeCell ref="K6:K7"/>
    <mergeCell ref="AE1:AH1"/>
    <mergeCell ref="A2:AH2"/>
    <mergeCell ref="A3:AH3"/>
    <mergeCell ref="A5:A7"/>
    <mergeCell ref="B5:B7"/>
    <mergeCell ref="C5:C7"/>
    <mergeCell ref="D5:W5"/>
    <mergeCell ref="X5:AH5"/>
    <mergeCell ref="D6:D7"/>
    <mergeCell ref="E6:E7"/>
    <mergeCell ref="AA6:AC6"/>
    <mergeCell ref="AG6:AG7"/>
    <mergeCell ref="AH6:AH7"/>
    <mergeCell ref="V6:V7"/>
    <mergeCell ref="W6:W7"/>
    <mergeCell ref="X6:Z6"/>
  </mergeCells>
  <printOptions horizontalCentered="1"/>
  <pageMargins left="0" right="0" top="0" bottom="0" header="0.31496062992125984" footer="0.31496062992125984"/>
  <pageSetup paperSize="9" scale="36"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S66"/>
  <sheetViews>
    <sheetView view="pageBreakPreview" zoomScale="80" zoomScaleNormal="70" zoomScaleSheetLayoutView="80" workbookViewId="0">
      <pane xSplit="3" ySplit="8" topLeftCell="D18"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9.6640625" style="98" customWidth="1"/>
    <col min="2" max="2" width="30.77734375" style="99" customWidth="1"/>
    <col min="3" max="3" width="13.77734375" style="99" customWidth="1"/>
    <col min="4" max="4" width="13.44140625" style="99" customWidth="1"/>
    <col min="5" max="5" width="13" style="99" customWidth="1"/>
    <col min="6" max="6" width="14.6640625" style="99" customWidth="1"/>
    <col min="7" max="7" width="11.44140625" style="99" customWidth="1"/>
    <col min="8" max="8" width="11.6640625" style="99" customWidth="1"/>
    <col min="9" max="9" width="11.33203125" style="99" customWidth="1"/>
    <col min="10" max="10" width="16" style="99" customWidth="1"/>
    <col min="11" max="11" width="13.109375" style="99" customWidth="1"/>
    <col min="12" max="17" width="11.44140625" style="99" customWidth="1"/>
    <col min="18" max="18" width="11.6640625" style="99" customWidth="1"/>
    <col min="19" max="19" width="14.6640625" style="99" customWidth="1"/>
    <col min="20" max="20" width="12.33203125" style="99" customWidth="1"/>
    <col min="21" max="21" width="11.6640625" style="99" customWidth="1"/>
    <col min="22" max="22" width="13.77734375" style="99" customWidth="1"/>
    <col min="23" max="23" width="13" style="99" customWidth="1"/>
    <col min="24" max="24" width="11" style="99" customWidth="1"/>
    <col min="25" max="25" width="12.109375" style="99" customWidth="1"/>
    <col min="26" max="26" width="9.6640625" style="99" customWidth="1"/>
    <col min="27" max="27" width="8.44140625" style="99" customWidth="1"/>
    <col min="28" max="28" width="9.109375" style="99" customWidth="1"/>
    <col min="29" max="29" width="9" style="99" customWidth="1"/>
    <col min="30" max="30" width="8.44140625" style="99" customWidth="1"/>
    <col min="31" max="31" width="9.109375" style="99" customWidth="1"/>
    <col min="32" max="32" width="10" style="99" customWidth="1"/>
    <col min="33" max="33" width="9.33203125" style="99" customWidth="1"/>
    <col min="34" max="34" width="10.6640625" style="99" customWidth="1"/>
    <col min="35" max="35" width="11.109375" style="99" customWidth="1"/>
    <col min="36" max="36" width="9.33203125" style="99"/>
    <col min="37" max="37" width="10.6640625" style="99" bestFit="1" customWidth="1"/>
    <col min="38" max="38" width="9.33203125" style="99" hidden="1" customWidth="1"/>
    <col min="39" max="39" width="13" style="99" hidden="1" customWidth="1"/>
    <col min="40" max="40" width="14.109375" style="211" bestFit="1" customWidth="1"/>
    <col min="41" max="42" width="9.33203125" style="211"/>
    <col min="43" max="43" width="11.33203125" style="211" bestFit="1" customWidth="1"/>
    <col min="44" max="16384" width="9.33203125" style="99"/>
  </cols>
  <sheetData>
    <row r="1" spans="1:45" ht="23.25" customHeight="1" x14ac:dyDescent="0.25">
      <c r="AE1" s="1546"/>
      <c r="AF1" s="1546"/>
      <c r="AG1" s="1546"/>
      <c r="AH1" s="1546"/>
    </row>
    <row r="2" spans="1:45" ht="24" customHeight="1" x14ac:dyDescent="0.25">
      <c r="A2" s="1547" t="s">
        <v>161</v>
      </c>
      <c r="B2" s="1547"/>
      <c r="C2" s="1547"/>
      <c r="D2" s="1547"/>
      <c r="E2" s="1547"/>
      <c r="F2" s="1547"/>
      <c r="G2" s="1547"/>
      <c r="H2" s="1547"/>
      <c r="I2" s="1547"/>
      <c r="J2" s="1547"/>
      <c r="K2" s="1547"/>
      <c r="L2" s="1547"/>
      <c r="M2" s="1547"/>
      <c r="N2" s="1547"/>
      <c r="O2" s="1547"/>
      <c r="P2" s="1547"/>
      <c r="Q2" s="1547"/>
      <c r="R2" s="1547"/>
      <c r="S2" s="1547"/>
      <c r="T2" s="1547"/>
      <c r="U2" s="1547"/>
      <c r="V2" s="1547"/>
      <c r="W2" s="1547"/>
      <c r="X2" s="1547"/>
      <c r="Y2" s="1547"/>
      <c r="Z2" s="1547"/>
      <c r="AA2" s="1547"/>
      <c r="AB2" s="1547"/>
      <c r="AC2" s="1547"/>
      <c r="AD2" s="1547"/>
      <c r="AE2" s="1547"/>
      <c r="AF2" s="1547"/>
      <c r="AG2" s="1547"/>
      <c r="AH2" s="1547"/>
      <c r="AI2" s="235"/>
    </row>
    <row r="3" spans="1:45" ht="24.75" customHeight="1" x14ac:dyDescent="0.25">
      <c r="A3" s="1548"/>
      <c r="B3" s="1548"/>
      <c r="C3" s="1548"/>
      <c r="D3" s="1548"/>
      <c r="E3" s="1548"/>
      <c r="F3" s="1548"/>
      <c r="G3" s="1548"/>
      <c r="H3" s="1548"/>
      <c r="I3" s="1548"/>
      <c r="J3" s="1548"/>
      <c r="K3" s="1548"/>
      <c r="L3" s="1548"/>
      <c r="M3" s="1548"/>
      <c r="N3" s="1548"/>
      <c r="O3" s="1548"/>
      <c r="P3" s="1548"/>
      <c r="Q3" s="1548"/>
      <c r="R3" s="1548"/>
      <c r="S3" s="1548"/>
      <c r="T3" s="1548"/>
      <c r="U3" s="1548"/>
      <c r="V3" s="1548"/>
      <c r="W3" s="1548"/>
      <c r="X3" s="1548"/>
      <c r="Y3" s="1548"/>
      <c r="Z3" s="1548"/>
      <c r="AA3" s="1548"/>
      <c r="AB3" s="1548"/>
      <c r="AC3" s="1548"/>
      <c r="AD3" s="1548"/>
      <c r="AE3" s="1548"/>
      <c r="AF3" s="1548"/>
      <c r="AG3" s="1548"/>
      <c r="AH3" s="1548"/>
      <c r="AI3" s="287"/>
    </row>
    <row r="4" spans="1:45" x14ac:dyDescent="0.25">
      <c r="L4" s="38">
        <v>0.15451000000000001</v>
      </c>
    </row>
    <row r="5" spans="1:45" ht="38.25" customHeight="1" x14ac:dyDescent="0.25">
      <c r="A5" s="1549" t="s">
        <v>78</v>
      </c>
      <c r="B5" s="1549" t="s">
        <v>77</v>
      </c>
      <c r="C5" s="1550" t="s">
        <v>0</v>
      </c>
      <c r="D5" s="1550" t="s">
        <v>3</v>
      </c>
      <c r="E5" s="1550"/>
      <c r="F5" s="1550"/>
      <c r="G5" s="1550"/>
      <c r="H5" s="1550"/>
      <c r="I5" s="1550"/>
      <c r="J5" s="1550"/>
      <c r="K5" s="1550"/>
      <c r="L5" s="1550"/>
      <c r="M5" s="1550"/>
      <c r="N5" s="1550"/>
      <c r="O5" s="1550"/>
      <c r="P5" s="1550"/>
      <c r="Q5" s="1550"/>
      <c r="R5" s="1550"/>
      <c r="S5" s="1550"/>
      <c r="T5" s="1550"/>
      <c r="U5" s="1550"/>
      <c r="V5" s="1550"/>
      <c r="W5" s="1550"/>
      <c r="X5" s="1550" t="s">
        <v>4</v>
      </c>
      <c r="Y5" s="1550"/>
      <c r="Z5" s="1550"/>
      <c r="AA5" s="1550"/>
      <c r="AB5" s="1550"/>
      <c r="AC5" s="1550"/>
      <c r="AD5" s="1550"/>
      <c r="AE5" s="1550"/>
      <c r="AF5" s="1550"/>
      <c r="AG5" s="1550"/>
      <c r="AH5" s="1550"/>
    </row>
    <row r="6" spans="1:45" ht="60" customHeight="1" x14ac:dyDescent="0.25">
      <c r="A6" s="1549"/>
      <c r="B6" s="1549"/>
      <c r="C6" s="1550"/>
      <c r="D6" s="1551" t="s">
        <v>68</v>
      </c>
      <c r="E6" s="1551" t="s">
        <v>69</v>
      </c>
      <c r="F6" s="1551" t="s">
        <v>89</v>
      </c>
      <c r="G6" s="1551" t="s">
        <v>1</v>
      </c>
      <c r="H6" s="1551" t="s">
        <v>2</v>
      </c>
      <c r="I6" s="1551" t="s">
        <v>70</v>
      </c>
      <c r="J6" s="1551" t="s">
        <v>61</v>
      </c>
      <c r="K6" s="1551" t="s">
        <v>27</v>
      </c>
      <c r="L6" s="1553" t="s">
        <v>65</v>
      </c>
      <c r="M6" s="1553" t="s">
        <v>86</v>
      </c>
      <c r="N6" s="1554" t="s">
        <v>90</v>
      </c>
      <c r="O6" s="1554"/>
      <c r="P6" s="1554" t="s">
        <v>88</v>
      </c>
      <c r="Q6" s="1553" t="s">
        <v>82</v>
      </c>
      <c r="R6" s="1551" t="s">
        <v>83</v>
      </c>
      <c r="S6" s="1553" t="s">
        <v>87</v>
      </c>
      <c r="T6" s="1551" t="s">
        <v>84</v>
      </c>
      <c r="U6" s="1551" t="s">
        <v>9</v>
      </c>
      <c r="V6" s="1551" t="s">
        <v>7</v>
      </c>
      <c r="W6" s="1551" t="s">
        <v>85</v>
      </c>
      <c r="X6" s="1550" t="s">
        <v>10</v>
      </c>
      <c r="Y6" s="1550"/>
      <c r="Z6" s="1550"/>
      <c r="AA6" s="1550" t="s">
        <v>11</v>
      </c>
      <c r="AB6" s="1550"/>
      <c r="AC6" s="1550"/>
      <c r="AD6" s="1550" t="s">
        <v>12</v>
      </c>
      <c r="AE6" s="1550"/>
      <c r="AF6" s="1550"/>
      <c r="AG6" s="1550" t="s">
        <v>13</v>
      </c>
      <c r="AH6" s="1550" t="s">
        <v>73</v>
      </c>
    </row>
    <row r="7" spans="1:45" ht="97.5" customHeight="1" x14ac:dyDescent="0.25">
      <c r="A7" s="1549"/>
      <c r="B7" s="1549"/>
      <c r="C7" s="1550"/>
      <c r="D7" s="1551"/>
      <c r="E7" s="1551"/>
      <c r="F7" s="1551"/>
      <c r="G7" s="1551"/>
      <c r="H7" s="1551"/>
      <c r="I7" s="1551"/>
      <c r="J7" s="1551"/>
      <c r="K7" s="1551"/>
      <c r="L7" s="1553" t="s">
        <v>66</v>
      </c>
      <c r="M7" s="1553"/>
      <c r="N7" s="286" t="s">
        <v>80</v>
      </c>
      <c r="O7" s="286" t="s">
        <v>81</v>
      </c>
      <c r="P7" s="1554"/>
      <c r="Q7" s="1553"/>
      <c r="R7" s="1551"/>
      <c r="S7" s="1553" t="s">
        <v>67</v>
      </c>
      <c r="T7" s="1551"/>
      <c r="U7" s="1551"/>
      <c r="V7" s="1551"/>
      <c r="W7" s="1551"/>
      <c r="X7" s="285" t="s">
        <v>5</v>
      </c>
      <c r="Y7" s="285" t="s">
        <v>6</v>
      </c>
      <c r="Z7" s="285" t="s">
        <v>74</v>
      </c>
      <c r="AA7" s="285" t="s">
        <v>5</v>
      </c>
      <c r="AB7" s="285" t="s">
        <v>6</v>
      </c>
      <c r="AC7" s="285" t="s">
        <v>75</v>
      </c>
      <c r="AD7" s="285" t="s">
        <v>5</v>
      </c>
      <c r="AE7" s="285" t="s">
        <v>6</v>
      </c>
      <c r="AF7" s="285" t="s">
        <v>76</v>
      </c>
      <c r="AG7" s="1550"/>
      <c r="AH7" s="1550"/>
      <c r="AK7" s="98" t="s">
        <v>64</v>
      </c>
      <c r="AL7" s="98" t="s">
        <v>62</v>
      </c>
      <c r="AM7" s="98" t="s">
        <v>63</v>
      </c>
    </row>
    <row r="8" spans="1:45" ht="15.75" customHeight="1" x14ac:dyDescent="0.25">
      <c r="A8" s="284">
        <v>1</v>
      </c>
      <c r="B8" s="284">
        <v>2</v>
      </c>
      <c r="C8" s="284">
        <v>3</v>
      </c>
      <c r="D8" s="284">
        <v>4</v>
      </c>
      <c r="E8" s="284">
        <v>5</v>
      </c>
      <c r="F8" s="284">
        <v>6</v>
      </c>
      <c r="G8" s="284">
        <v>7</v>
      </c>
      <c r="H8" s="284">
        <v>8</v>
      </c>
      <c r="I8" s="284">
        <v>9</v>
      </c>
      <c r="J8" s="284">
        <v>10</v>
      </c>
      <c r="K8" s="284">
        <v>11</v>
      </c>
      <c r="L8" s="284">
        <v>12</v>
      </c>
      <c r="M8" s="284">
        <v>13</v>
      </c>
      <c r="N8" s="284">
        <v>14</v>
      </c>
      <c r="O8" s="284">
        <v>15</v>
      </c>
      <c r="P8" s="284">
        <v>16</v>
      </c>
      <c r="Q8" s="284">
        <v>17</v>
      </c>
      <c r="R8" s="284">
        <v>18</v>
      </c>
      <c r="S8" s="284">
        <v>19</v>
      </c>
      <c r="T8" s="284">
        <v>20</v>
      </c>
      <c r="U8" s="284">
        <v>21</v>
      </c>
      <c r="V8" s="284">
        <v>22</v>
      </c>
      <c r="W8" s="284">
        <v>23</v>
      </c>
      <c r="X8" s="284">
        <v>25</v>
      </c>
      <c r="Y8" s="284">
        <v>26</v>
      </c>
      <c r="Z8" s="284">
        <v>27</v>
      </c>
      <c r="AA8" s="284">
        <v>28</v>
      </c>
      <c r="AB8" s="284">
        <v>29</v>
      </c>
      <c r="AC8" s="284">
        <v>30</v>
      </c>
      <c r="AD8" s="284">
        <v>31</v>
      </c>
      <c r="AE8" s="284">
        <v>32</v>
      </c>
      <c r="AF8" s="284">
        <v>33</v>
      </c>
      <c r="AG8" s="284">
        <v>34</v>
      </c>
      <c r="AH8" s="284">
        <v>35</v>
      </c>
      <c r="AN8" s="212" t="s">
        <v>116</v>
      </c>
      <c r="AO8" s="212" t="s">
        <v>117</v>
      </c>
      <c r="AP8" s="212" t="s">
        <v>118</v>
      </c>
      <c r="AQ8" s="212" t="s">
        <v>119</v>
      </c>
    </row>
    <row r="9" spans="1:45" ht="16.5" customHeight="1" x14ac:dyDescent="0.25">
      <c r="A9" s="284">
        <v>1</v>
      </c>
      <c r="B9" s="236" t="s">
        <v>14</v>
      </c>
      <c r="C9" s="284">
        <v>1</v>
      </c>
      <c r="D9" s="237">
        <v>25.672999999999998</v>
      </c>
      <c r="E9" s="169">
        <f t="shared" ref="E9:E24" si="0">C9*D9</f>
        <v>25.67</v>
      </c>
      <c r="F9" s="170">
        <f t="shared" ref="F9:F24" si="1">E9*12</f>
        <v>308</v>
      </c>
      <c r="G9" s="95"/>
      <c r="H9" s="95"/>
      <c r="I9" s="95"/>
      <c r="J9" s="95"/>
      <c r="K9" s="95">
        <f>F9*0.3</f>
        <v>92.4</v>
      </c>
      <c r="L9" s="95">
        <f>F9*$L$4</f>
        <v>47.6</v>
      </c>
      <c r="M9" s="95">
        <f t="shared" ref="M9:M24" si="2">F9+G9+H9+I9+J9+K9+L9</f>
        <v>448</v>
      </c>
      <c r="N9" s="111">
        <v>0.42</v>
      </c>
      <c r="O9" s="95">
        <f t="shared" ref="O9:O24" si="3">M9*N9</f>
        <v>188.2</v>
      </c>
      <c r="P9" s="95">
        <f t="shared" ref="P9:P24" si="4">M9+O9</f>
        <v>636.20000000000005</v>
      </c>
      <c r="Q9" s="95">
        <f t="shared" ref="Q9:Q24" si="5">P9*0.8</f>
        <v>509</v>
      </c>
      <c r="R9" s="95">
        <f t="shared" ref="R9:R24" si="6">P9*0.8</f>
        <v>509</v>
      </c>
      <c r="S9" s="95">
        <f t="shared" ref="S9:S24" si="7">(P9+Q9+R9)*0.032</f>
        <v>52.9</v>
      </c>
      <c r="T9" s="95">
        <f t="shared" ref="T9:T24" si="8">P9+Q9+R9+S9</f>
        <v>1707.1</v>
      </c>
      <c r="U9" s="1947">
        <v>1</v>
      </c>
      <c r="V9" s="95">
        <f>T9*$U$9</f>
        <v>1707.1</v>
      </c>
      <c r="W9" s="95">
        <f>AQ9</f>
        <v>424.3</v>
      </c>
      <c r="X9" s="284">
        <v>1</v>
      </c>
      <c r="Y9" s="112">
        <v>30</v>
      </c>
      <c r="Z9" s="113">
        <f t="shared" ref="Z9:Z24" si="9">X9*Y9</f>
        <v>30</v>
      </c>
      <c r="AA9" s="284"/>
      <c r="AB9" s="112">
        <v>15</v>
      </c>
      <c r="AC9" s="113">
        <f t="shared" ref="AC9:AC24" si="10">AA9*AB9</f>
        <v>0</v>
      </c>
      <c r="AD9" s="284">
        <v>1</v>
      </c>
      <c r="AE9" s="112">
        <v>30</v>
      </c>
      <c r="AF9" s="113">
        <f t="shared" ref="AF9:AF24" si="11">AD9*AE9</f>
        <v>30</v>
      </c>
      <c r="AG9" s="113">
        <f t="shared" ref="AG9:AG24" si="12">(Z9+AC9+AF9)*1%*30</f>
        <v>18</v>
      </c>
      <c r="AH9" s="113">
        <f t="shared" ref="AH9:AH24" si="13">Z9+AC9+AF9+AG9</f>
        <v>78</v>
      </c>
      <c r="AI9" s="114">
        <f t="shared" ref="AI9:AI17" si="14">V9/12/C9*1000</f>
        <v>142258.29999999999</v>
      </c>
      <c r="AK9" s="114">
        <f t="shared" ref="AK9:AK24" si="15">V9/C9</f>
        <v>1707.1</v>
      </c>
      <c r="AL9" s="114">
        <f>((979*0.302)+((AK9-979)*0.182))</f>
        <v>428.2</v>
      </c>
      <c r="AM9" s="115">
        <f>AL9/AK9</f>
        <v>0.251</v>
      </c>
      <c r="AN9" s="50">
        <f>1150*0.22+(AK9-1150)*0.1</f>
        <v>308.7</v>
      </c>
      <c r="AO9" s="50">
        <f>865*0.029</f>
        <v>25.1</v>
      </c>
      <c r="AP9" s="50">
        <f>AK9*0.053</f>
        <v>90.5</v>
      </c>
      <c r="AQ9" s="50">
        <f t="shared" ref="AQ9:AQ24" si="16">SUM(AN9:AP9)*C9</f>
        <v>424.3</v>
      </c>
      <c r="AS9" s="99">
        <f t="shared" ref="AS9:AS17" si="17">D9*1.5</f>
        <v>38.509500000000003</v>
      </c>
    </row>
    <row r="10" spans="1:45" x14ac:dyDescent="0.25">
      <c r="A10" s="284">
        <v>2</v>
      </c>
      <c r="B10" s="236" t="s">
        <v>127</v>
      </c>
      <c r="C10" s="284">
        <v>1</v>
      </c>
      <c r="D10" s="237">
        <v>17.971</v>
      </c>
      <c r="E10" s="169">
        <f>C10*D10</f>
        <v>17.97</v>
      </c>
      <c r="F10" s="170">
        <f t="shared" si="1"/>
        <v>215.6</v>
      </c>
      <c r="G10" s="95"/>
      <c r="H10" s="95">
        <v>11.2</v>
      </c>
      <c r="I10" s="95"/>
      <c r="J10" s="95"/>
      <c r="K10" s="95">
        <f>F10*0.3+D10*0.05*6.5</f>
        <v>70.5</v>
      </c>
      <c r="L10" s="95">
        <f t="shared" ref="L10:L23" si="18">F10*$L$4</f>
        <v>33.299999999999997</v>
      </c>
      <c r="M10" s="95">
        <f t="shared" si="2"/>
        <v>330.6</v>
      </c>
      <c r="N10" s="111">
        <v>0.47</v>
      </c>
      <c r="O10" s="95">
        <f t="shared" si="3"/>
        <v>155.4</v>
      </c>
      <c r="P10" s="95">
        <f t="shared" si="4"/>
        <v>486</v>
      </c>
      <c r="Q10" s="95">
        <f t="shared" si="5"/>
        <v>388.8</v>
      </c>
      <c r="R10" s="95">
        <f t="shared" si="6"/>
        <v>388.8</v>
      </c>
      <c r="S10" s="95">
        <f t="shared" si="7"/>
        <v>40.4</v>
      </c>
      <c r="T10" s="95">
        <f t="shared" si="8"/>
        <v>1304</v>
      </c>
      <c r="U10" s="1948"/>
      <c r="V10" s="95">
        <f>T10*$U$9</f>
        <v>1304</v>
      </c>
      <c r="W10" s="95">
        <f>AQ10</f>
        <v>362.6</v>
      </c>
      <c r="X10" s="284">
        <v>1</v>
      </c>
      <c r="Y10" s="112">
        <v>30</v>
      </c>
      <c r="Z10" s="113">
        <f t="shared" si="9"/>
        <v>30</v>
      </c>
      <c r="AA10" s="284"/>
      <c r="AB10" s="112">
        <v>15</v>
      </c>
      <c r="AC10" s="113">
        <f t="shared" si="10"/>
        <v>0</v>
      </c>
      <c r="AD10" s="284"/>
      <c r="AE10" s="112">
        <v>30</v>
      </c>
      <c r="AF10" s="113">
        <f t="shared" si="11"/>
        <v>0</v>
      </c>
      <c r="AG10" s="113">
        <f t="shared" si="12"/>
        <v>9</v>
      </c>
      <c r="AH10" s="113">
        <f t="shared" si="13"/>
        <v>39</v>
      </c>
      <c r="AI10" s="114">
        <f t="shared" si="14"/>
        <v>108666.7</v>
      </c>
      <c r="AK10" s="114">
        <f t="shared" si="15"/>
        <v>1304</v>
      </c>
      <c r="AL10" s="114">
        <f t="shared" ref="AL10:AL24" si="19">((979*0.302)+((AK10-979)*0.182))</f>
        <v>354.8</v>
      </c>
      <c r="AM10" s="115">
        <f>AL10/AK10</f>
        <v>0.27200000000000002</v>
      </c>
      <c r="AN10" s="50">
        <f>1150*0.22+(AK10-1150)*0.1</f>
        <v>268.39999999999998</v>
      </c>
      <c r="AO10" s="50">
        <f>865*0.029</f>
        <v>25.1</v>
      </c>
      <c r="AP10" s="50">
        <f>AK10*0.053</f>
        <v>69.099999999999994</v>
      </c>
      <c r="AQ10" s="50">
        <f t="shared" si="16"/>
        <v>362.6</v>
      </c>
      <c r="AS10" s="99">
        <f t="shared" si="17"/>
        <v>26.956499999999998</v>
      </c>
    </row>
    <row r="11" spans="1:45" x14ac:dyDescent="0.25">
      <c r="A11" s="284">
        <v>3</v>
      </c>
      <c r="B11" s="236" t="s">
        <v>23</v>
      </c>
      <c r="C11" s="238">
        <v>4</v>
      </c>
      <c r="D11" s="237">
        <v>11.061999999999999</v>
      </c>
      <c r="E11" s="111">
        <f t="shared" si="0"/>
        <v>44.25</v>
      </c>
      <c r="F11" s="95">
        <f t="shared" si="1"/>
        <v>531</v>
      </c>
      <c r="G11" s="95"/>
      <c r="H11" s="95">
        <f>7.01+7.789+7.01</f>
        <v>21.8</v>
      </c>
      <c r="I11" s="95"/>
      <c r="J11" s="95"/>
      <c r="K11" s="95">
        <f>F11*0.25*2+F11*0.3+D11*0.05*11.5</f>
        <v>431.2</v>
      </c>
      <c r="L11" s="95">
        <f t="shared" si="18"/>
        <v>82</v>
      </c>
      <c r="M11" s="95">
        <f t="shared" si="2"/>
        <v>1066</v>
      </c>
      <c r="N11" s="111">
        <v>0.43</v>
      </c>
      <c r="O11" s="95">
        <f t="shared" si="3"/>
        <v>458.4</v>
      </c>
      <c r="P11" s="95">
        <f t="shared" si="4"/>
        <v>1524.4</v>
      </c>
      <c r="Q11" s="95">
        <f t="shared" si="5"/>
        <v>1219.5</v>
      </c>
      <c r="R11" s="95">
        <f t="shared" si="6"/>
        <v>1219.5</v>
      </c>
      <c r="S11" s="95">
        <f t="shared" si="7"/>
        <v>126.8</v>
      </c>
      <c r="T11" s="95">
        <f t="shared" si="8"/>
        <v>4090.2</v>
      </c>
      <c r="U11" s="1948"/>
      <c r="V11" s="95">
        <f t="shared" ref="V11:V23" si="20">T11*$U$9</f>
        <v>4090.2</v>
      </c>
      <c r="W11" s="95">
        <f>AQ11</f>
        <v>1217.2</v>
      </c>
      <c r="X11" s="239">
        <v>2</v>
      </c>
      <c r="Y11" s="240">
        <v>30</v>
      </c>
      <c r="Z11" s="241">
        <f t="shared" si="9"/>
        <v>60</v>
      </c>
      <c r="AA11" s="239">
        <v>1</v>
      </c>
      <c r="AB11" s="240">
        <v>15</v>
      </c>
      <c r="AC11" s="241">
        <f t="shared" si="10"/>
        <v>15</v>
      </c>
      <c r="AD11" s="239">
        <v>1</v>
      </c>
      <c r="AE11" s="240">
        <v>30</v>
      </c>
      <c r="AF11" s="241">
        <f t="shared" si="11"/>
        <v>30</v>
      </c>
      <c r="AG11" s="241">
        <f t="shared" si="12"/>
        <v>31.5</v>
      </c>
      <c r="AH11" s="241">
        <f t="shared" si="13"/>
        <v>136.5</v>
      </c>
      <c r="AI11" s="114">
        <f t="shared" si="14"/>
        <v>85212.5</v>
      </c>
      <c r="AK11" s="114">
        <f t="shared" si="15"/>
        <v>1022.6</v>
      </c>
      <c r="AL11" s="114">
        <f t="shared" si="19"/>
        <v>303.60000000000002</v>
      </c>
      <c r="AM11" s="115">
        <v>0.30199999999999999</v>
      </c>
      <c r="AN11" s="50">
        <f t="shared" ref="AN11:AN24" si="21">AK11*0.22</f>
        <v>225</v>
      </c>
      <c r="AO11" s="50">
        <f>865*0.029</f>
        <v>25.1</v>
      </c>
      <c r="AP11" s="50">
        <f>AK11*0.053</f>
        <v>54.2</v>
      </c>
      <c r="AQ11" s="50">
        <f t="shared" si="16"/>
        <v>1217.2</v>
      </c>
      <c r="AS11" s="99">
        <f t="shared" si="17"/>
        <v>16.593</v>
      </c>
    </row>
    <row r="12" spans="1:45" x14ac:dyDescent="0.25">
      <c r="A12" s="284">
        <v>4</v>
      </c>
      <c r="B12" s="236" t="s">
        <v>47</v>
      </c>
      <c r="C12" s="238">
        <v>1</v>
      </c>
      <c r="D12" s="237">
        <v>6.2859999999999996</v>
      </c>
      <c r="E12" s="111">
        <f t="shared" si="0"/>
        <v>6.29</v>
      </c>
      <c r="F12" s="95">
        <f t="shared" si="1"/>
        <v>75.5</v>
      </c>
      <c r="G12" s="95"/>
      <c r="H12" s="95"/>
      <c r="I12" s="95"/>
      <c r="J12" s="95"/>
      <c r="K12" s="95"/>
      <c r="L12" s="95">
        <f t="shared" si="18"/>
        <v>11.7</v>
      </c>
      <c r="M12" s="95">
        <f t="shared" si="2"/>
        <v>87.2</v>
      </c>
      <c r="N12" s="111">
        <v>0.45</v>
      </c>
      <c r="O12" s="95">
        <f t="shared" si="3"/>
        <v>39.200000000000003</v>
      </c>
      <c r="P12" s="95">
        <f t="shared" si="4"/>
        <v>126.4</v>
      </c>
      <c r="Q12" s="95">
        <f t="shared" si="5"/>
        <v>101.1</v>
      </c>
      <c r="R12" s="95">
        <f t="shared" si="6"/>
        <v>101.1</v>
      </c>
      <c r="S12" s="95">
        <f t="shared" si="7"/>
        <v>10.5</v>
      </c>
      <c r="T12" s="95">
        <f t="shared" si="8"/>
        <v>339.1</v>
      </c>
      <c r="U12" s="1948"/>
      <c r="V12" s="95">
        <f t="shared" si="20"/>
        <v>339.1</v>
      </c>
      <c r="W12" s="95">
        <f t="shared" ref="W12:W24" si="22">V12*0.302</f>
        <v>102.4</v>
      </c>
      <c r="X12" s="239"/>
      <c r="Y12" s="240">
        <v>30</v>
      </c>
      <c r="Z12" s="241">
        <f t="shared" si="9"/>
        <v>0</v>
      </c>
      <c r="AA12" s="239"/>
      <c r="AB12" s="240">
        <v>15</v>
      </c>
      <c r="AC12" s="241">
        <f t="shared" si="10"/>
        <v>0</v>
      </c>
      <c r="AD12" s="239"/>
      <c r="AE12" s="240">
        <v>30</v>
      </c>
      <c r="AF12" s="241">
        <f t="shared" si="11"/>
        <v>0</v>
      </c>
      <c r="AG12" s="241">
        <f t="shared" si="12"/>
        <v>0</v>
      </c>
      <c r="AH12" s="241">
        <f t="shared" si="13"/>
        <v>0</v>
      </c>
      <c r="AI12" s="114">
        <f t="shared" si="14"/>
        <v>28258.3</v>
      </c>
      <c r="AK12" s="114">
        <f t="shared" si="15"/>
        <v>339.1</v>
      </c>
      <c r="AL12" s="114">
        <f t="shared" si="19"/>
        <v>179.2</v>
      </c>
      <c r="AM12" s="115">
        <v>0.30199999999999999</v>
      </c>
      <c r="AN12" s="50">
        <f t="shared" si="21"/>
        <v>74.599999999999994</v>
      </c>
      <c r="AO12" s="50"/>
      <c r="AP12" s="50">
        <f t="shared" ref="AP12:AP24" si="23">AK12*0.053</f>
        <v>18</v>
      </c>
      <c r="AQ12" s="50">
        <f t="shared" si="16"/>
        <v>92.6</v>
      </c>
      <c r="AR12" s="22"/>
      <c r="AS12" s="99">
        <f t="shared" si="17"/>
        <v>9.4290000000000003</v>
      </c>
    </row>
    <row r="13" spans="1:45" s="33" customFormat="1" x14ac:dyDescent="0.25">
      <c r="A13" s="284">
        <v>5</v>
      </c>
      <c r="B13" s="52" t="s">
        <v>48</v>
      </c>
      <c r="C13" s="278">
        <v>1</v>
      </c>
      <c r="D13" s="177">
        <v>11.061999999999999</v>
      </c>
      <c r="E13" s="171">
        <f t="shared" si="0"/>
        <v>11.06</v>
      </c>
      <c r="F13" s="154">
        <f t="shared" si="1"/>
        <v>132.69999999999999</v>
      </c>
      <c r="G13" s="154"/>
      <c r="H13" s="154">
        <f>7010.2/1000</f>
        <v>7</v>
      </c>
      <c r="I13" s="154"/>
      <c r="J13" s="154"/>
      <c r="K13" s="154">
        <f>F13*0.4</f>
        <v>53.1</v>
      </c>
      <c r="L13" s="95">
        <f t="shared" si="18"/>
        <v>20.5</v>
      </c>
      <c r="M13" s="154">
        <f t="shared" si="2"/>
        <v>213.3</v>
      </c>
      <c r="N13" s="111">
        <v>0.47</v>
      </c>
      <c r="O13" s="154">
        <f t="shared" si="3"/>
        <v>100.3</v>
      </c>
      <c r="P13" s="154">
        <f t="shared" si="4"/>
        <v>313.60000000000002</v>
      </c>
      <c r="Q13" s="154">
        <f t="shared" si="5"/>
        <v>250.9</v>
      </c>
      <c r="R13" s="154">
        <f t="shared" si="6"/>
        <v>250.9</v>
      </c>
      <c r="S13" s="154">
        <f t="shared" si="7"/>
        <v>26.1</v>
      </c>
      <c r="T13" s="154">
        <f t="shared" si="8"/>
        <v>841.5</v>
      </c>
      <c r="U13" s="1948"/>
      <c r="V13" s="154">
        <f t="shared" si="20"/>
        <v>841.5</v>
      </c>
      <c r="W13" s="95">
        <f t="shared" si="22"/>
        <v>254.1</v>
      </c>
      <c r="X13" s="54"/>
      <c r="Y13" s="24">
        <v>30</v>
      </c>
      <c r="Z13" s="48">
        <f t="shared" si="9"/>
        <v>0</v>
      </c>
      <c r="AA13" s="54"/>
      <c r="AB13" s="24">
        <v>15</v>
      </c>
      <c r="AC13" s="48">
        <f t="shared" si="10"/>
        <v>0</v>
      </c>
      <c r="AD13" s="54"/>
      <c r="AE13" s="24">
        <v>30</v>
      </c>
      <c r="AF13" s="48">
        <f t="shared" si="11"/>
        <v>0</v>
      </c>
      <c r="AG13" s="48">
        <f t="shared" si="12"/>
        <v>0</v>
      </c>
      <c r="AH13" s="48">
        <f t="shared" si="13"/>
        <v>0</v>
      </c>
      <c r="AI13" s="34">
        <f t="shared" si="14"/>
        <v>70125</v>
      </c>
      <c r="AK13" s="34">
        <f t="shared" si="15"/>
        <v>841.5</v>
      </c>
      <c r="AL13" s="34">
        <f t="shared" si="19"/>
        <v>270.60000000000002</v>
      </c>
      <c r="AM13" s="51">
        <v>0.30199999999999999</v>
      </c>
      <c r="AN13" s="50">
        <f t="shared" si="21"/>
        <v>185.1</v>
      </c>
      <c r="AO13" s="50"/>
      <c r="AP13" s="50">
        <f t="shared" si="23"/>
        <v>44.6</v>
      </c>
      <c r="AQ13" s="50">
        <f t="shared" si="16"/>
        <v>229.7</v>
      </c>
      <c r="AR13" s="22"/>
      <c r="AS13" s="22">
        <f t="shared" si="17"/>
        <v>16.593</v>
      </c>
    </row>
    <row r="14" spans="1:45" x14ac:dyDescent="0.25">
      <c r="A14" s="284">
        <v>6</v>
      </c>
      <c r="B14" s="236" t="s">
        <v>49</v>
      </c>
      <c r="C14" s="127">
        <v>1</v>
      </c>
      <c r="D14" s="237">
        <v>8.4730000000000008</v>
      </c>
      <c r="E14" s="111">
        <f t="shared" si="0"/>
        <v>8.4700000000000006</v>
      </c>
      <c r="F14" s="95">
        <f t="shared" si="1"/>
        <v>101.6</v>
      </c>
      <c r="G14" s="95"/>
      <c r="H14" s="95">
        <f>5966.1/1000</f>
        <v>6</v>
      </c>
      <c r="I14" s="95"/>
      <c r="J14" s="95"/>
      <c r="K14" s="95">
        <f>F14*0.4</f>
        <v>40.6</v>
      </c>
      <c r="L14" s="95">
        <f t="shared" si="18"/>
        <v>15.7</v>
      </c>
      <c r="M14" s="95">
        <f t="shared" si="2"/>
        <v>163.9</v>
      </c>
      <c r="N14" s="111">
        <v>0.41</v>
      </c>
      <c r="O14" s="95">
        <f t="shared" si="3"/>
        <v>67.2</v>
      </c>
      <c r="P14" s="95">
        <f t="shared" si="4"/>
        <v>231.1</v>
      </c>
      <c r="Q14" s="95">
        <f t="shared" si="5"/>
        <v>184.9</v>
      </c>
      <c r="R14" s="95">
        <f t="shared" si="6"/>
        <v>184.9</v>
      </c>
      <c r="S14" s="95">
        <f t="shared" si="7"/>
        <v>19.2</v>
      </c>
      <c r="T14" s="95">
        <f t="shared" si="8"/>
        <v>620.1</v>
      </c>
      <c r="U14" s="1948"/>
      <c r="V14" s="95">
        <f>T14*$U$9</f>
        <v>620.1</v>
      </c>
      <c r="W14" s="95">
        <f t="shared" si="22"/>
        <v>187.3</v>
      </c>
      <c r="X14" s="284"/>
      <c r="Y14" s="112">
        <v>30</v>
      </c>
      <c r="Z14" s="113">
        <f t="shared" si="9"/>
        <v>0</v>
      </c>
      <c r="AA14" s="127"/>
      <c r="AB14" s="112">
        <v>15</v>
      </c>
      <c r="AC14" s="113">
        <f t="shared" si="10"/>
        <v>0</v>
      </c>
      <c r="AD14" s="127"/>
      <c r="AE14" s="112">
        <v>30</v>
      </c>
      <c r="AF14" s="113">
        <f t="shared" si="11"/>
        <v>0</v>
      </c>
      <c r="AG14" s="113">
        <f t="shared" si="12"/>
        <v>0</v>
      </c>
      <c r="AH14" s="113">
        <f t="shared" si="13"/>
        <v>0</v>
      </c>
      <c r="AI14" s="114">
        <f t="shared" si="14"/>
        <v>51675</v>
      </c>
      <c r="AK14" s="114">
        <f t="shared" si="15"/>
        <v>620.1</v>
      </c>
      <c r="AL14" s="114">
        <f t="shared" si="19"/>
        <v>230.3</v>
      </c>
      <c r="AM14" s="115">
        <v>0.30199999999999999</v>
      </c>
      <c r="AN14" s="50">
        <f t="shared" si="21"/>
        <v>136.4</v>
      </c>
      <c r="AO14" s="50"/>
      <c r="AP14" s="50">
        <f t="shared" si="23"/>
        <v>32.9</v>
      </c>
      <c r="AQ14" s="50">
        <f t="shared" si="16"/>
        <v>169.3</v>
      </c>
      <c r="AR14" s="22"/>
      <c r="AS14" s="99">
        <f t="shared" si="17"/>
        <v>12.7095</v>
      </c>
    </row>
    <row r="15" spans="1:45" x14ac:dyDescent="0.25">
      <c r="A15" s="284">
        <v>7</v>
      </c>
      <c r="B15" s="236" t="s">
        <v>52</v>
      </c>
      <c r="C15" s="127">
        <v>1</v>
      </c>
      <c r="D15" s="237">
        <v>8.4730000000000008</v>
      </c>
      <c r="E15" s="111">
        <f t="shared" si="0"/>
        <v>8.4700000000000006</v>
      </c>
      <c r="F15" s="95">
        <f t="shared" si="1"/>
        <v>101.6</v>
      </c>
      <c r="G15" s="95"/>
      <c r="H15" s="95">
        <f>5966.1/1000</f>
        <v>6</v>
      </c>
      <c r="I15" s="95"/>
      <c r="J15" s="95"/>
      <c r="K15" s="95">
        <f>F15*0.25</f>
        <v>25.4</v>
      </c>
      <c r="L15" s="95">
        <f t="shared" si="18"/>
        <v>15.7</v>
      </c>
      <c r="M15" s="95">
        <f t="shared" si="2"/>
        <v>148.69999999999999</v>
      </c>
      <c r="N15" s="111">
        <v>0.41</v>
      </c>
      <c r="O15" s="95">
        <f t="shared" si="3"/>
        <v>61</v>
      </c>
      <c r="P15" s="95">
        <f t="shared" si="4"/>
        <v>209.7</v>
      </c>
      <c r="Q15" s="95">
        <f t="shared" si="5"/>
        <v>167.8</v>
      </c>
      <c r="R15" s="95">
        <f t="shared" si="6"/>
        <v>167.8</v>
      </c>
      <c r="S15" s="95">
        <f t="shared" si="7"/>
        <v>17.399999999999999</v>
      </c>
      <c r="T15" s="95">
        <f t="shared" si="8"/>
        <v>562.70000000000005</v>
      </c>
      <c r="U15" s="1948"/>
      <c r="V15" s="95">
        <f t="shared" si="20"/>
        <v>562.70000000000005</v>
      </c>
      <c r="W15" s="95">
        <f t="shared" si="22"/>
        <v>169.9</v>
      </c>
      <c r="X15" s="284"/>
      <c r="Y15" s="112">
        <v>30</v>
      </c>
      <c r="Z15" s="113">
        <f t="shared" si="9"/>
        <v>0</v>
      </c>
      <c r="AA15" s="127"/>
      <c r="AB15" s="112">
        <v>15</v>
      </c>
      <c r="AC15" s="113">
        <f t="shared" si="10"/>
        <v>0</v>
      </c>
      <c r="AD15" s="127"/>
      <c r="AE15" s="112">
        <v>30</v>
      </c>
      <c r="AF15" s="113">
        <f t="shared" si="11"/>
        <v>0</v>
      </c>
      <c r="AG15" s="113">
        <f t="shared" si="12"/>
        <v>0</v>
      </c>
      <c r="AH15" s="113">
        <f t="shared" si="13"/>
        <v>0</v>
      </c>
      <c r="AI15" s="114">
        <f t="shared" si="14"/>
        <v>46891.7</v>
      </c>
      <c r="AK15" s="114">
        <f t="shared" si="15"/>
        <v>562.70000000000005</v>
      </c>
      <c r="AL15" s="114">
        <f t="shared" si="19"/>
        <v>219.9</v>
      </c>
      <c r="AM15" s="115">
        <v>0.30199999999999999</v>
      </c>
      <c r="AN15" s="50">
        <f t="shared" si="21"/>
        <v>123.8</v>
      </c>
      <c r="AO15" s="50"/>
      <c r="AP15" s="50">
        <f t="shared" si="23"/>
        <v>29.8</v>
      </c>
      <c r="AQ15" s="50">
        <f t="shared" si="16"/>
        <v>153.6</v>
      </c>
      <c r="AS15" s="99">
        <f t="shared" si="17"/>
        <v>12.7095</v>
      </c>
    </row>
    <row r="16" spans="1:45" x14ac:dyDescent="0.25">
      <c r="A16" s="284">
        <v>8</v>
      </c>
      <c r="B16" s="236" t="s">
        <v>40</v>
      </c>
      <c r="C16" s="127">
        <v>1</v>
      </c>
      <c r="D16" s="237">
        <v>11.061999999999999</v>
      </c>
      <c r="E16" s="111">
        <f t="shared" si="0"/>
        <v>11.06</v>
      </c>
      <c r="F16" s="95">
        <f t="shared" si="1"/>
        <v>132.69999999999999</v>
      </c>
      <c r="G16" s="95"/>
      <c r="H16" s="95">
        <f>7010.2/1000</f>
        <v>7</v>
      </c>
      <c r="I16" s="95"/>
      <c r="J16" s="95"/>
      <c r="K16" s="95">
        <f>F16*0.25</f>
        <v>33.200000000000003</v>
      </c>
      <c r="L16" s="95">
        <f t="shared" si="18"/>
        <v>20.5</v>
      </c>
      <c r="M16" s="95">
        <f t="shared" si="2"/>
        <v>193.4</v>
      </c>
      <c r="N16" s="111">
        <v>0.43</v>
      </c>
      <c r="O16" s="95">
        <f t="shared" si="3"/>
        <v>83.2</v>
      </c>
      <c r="P16" s="95">
        <f t="shared" si="4"/>
        <v>276.60000000000002</v>
      </c>
      <c r="Q16" s="95">
        <f t="shared" si="5"/>
        <v>221.3</v>
      </c>
      <c r="R16" s="95">
        <f t="shared" si="6"/>
        <v>221.3</v>
      </c>
      <c r="S16" s="95">
        <f t="shared" si="7"/>
        <v>23</v>
      </c>
      <c r="T16" s="95">
        <f t="shared" si="8"/>
        <v>742.2</v>
      </c>
      <c r="U16" s="1948"/>
      <c r="V16" s="95">
        <f t="shared" si="20"/>
        <v>742.2</v>
      </c>
      <c r="W16" s="95">
        <f t="shared" si="22"/>
        <v>224.1</v>
      </c>
      <c r="X16" s="284"/>
      <c r="Y16" s="112">
        <v>30</v>
      </c>
      <c r="Z16" s="113">
        <f t="shared" si="9"/>
        <v>0</v>
      </c>
      <c r="AA16" s="127"/>
      <c r="AB16" s="112">
        <v>15</v>
      </c>
      <c r="AC16" s="113">
        <f t="shared" si="10"/>
        <v>0</v>
      </c>
      <c r="AD16" s="127"/>
      <c r="AE16" s="112">
        <v>30</v>
      </c>
      <c r="AF16" s="113">
        <f t="shared" si="11"/>
        <v>0</v>
      </c>
      <c r="AG16" s="113">
        <f t="shared" si="12"/>
        <v>0</v>
      </c>
      <c r="AH16" s="113">
        <f t="shared" si="13"/>
        <v>0</v>
      </c>
      <c r="AI16" s="114">
        <f t="shared" si="14"/>
        <v>61850</v>
      </c>
      <c r="AK16" s="114">
        <f t="shared" si="15"/>
        <v>742.2</v>
      </c>
      <c r="AL16" s="114">
        <f t="shared" si="19"/>
        <v>252.6</v>
      </c>
      <c r="AM16" s="115">
        <v>0.30199999999999999</v>
      </c>
      <c r="AN16" s="50">
        <f t="shared" si="21"/>
        <v>163.30000000000001</v>
      </c>
      <c r="AO16" s="242"/>
      <c r="AP16" s="50">
        <f t="shared" si="23"/>
        <v>39.299999999999997</v>
      </c>
      <c r="AQ16" s="50">
        <f t="shared" si="16"/>
        <v>202.6</v>
      </c>
      <c r="AS16" s="99">
        <f t="shared" si="17"/>
        <v>16.593</v>
      </c>
    </row>
    <row r="17" spans="1:45" x14ac:dyDescent="0.25">
      <c r="A17" s="284">
        <v>9</v>
      </c>
      <c r="B17" s="236" t="s">
        <v>29</v>
      </c>
      <c r="C17" s="127">
        <v>1</v>
      </c>
      <c r="D17" s="237">
        <v>8.4730000000000008</v>
      </c>
      <c r="E17" s="111">
        <f t="shared" si="0"/>
        <v>8.4700000000000006</v>
      </c>
      <c r="F17" s="95">
        <f t="shared" si="1"/>
        <v>101.6</v>
      </c>
      <c r="G17" s="95"/>
      <c r="H17" s="95">
        <f>5369.5/1000</f>
        <v>5.4</v>
      </c>
      <c r="I17" s="95"/>
      <c r="J17" s="95">
        <f>D17*0.1*3</f>
        <v>2.5</v>
      </c>
      <c r="K17" s="95">
        <f>D17*0.25*12</f>
        <v>25.4</v>
      </c>
      <c r="L17" s="95">
        <f t="shared" si="18"/>
        <v>15.7</v>
      </c>
      <c r="M17" s="95">
        <f t="shared" si="2"/>
        <v>150.6</v>
      </c>
      <c r="N17" s="111">
        <v>0.41</v>
      </c>
      <c r="O17" s="95">
        <f t="shared" si="3"/>
        <v>61.7</v>
      </c>
      <c r="P17" s="95">
        <f t="shared" si="4"/>
        <v>212.3</v>
      </c>
      <c r="Q17" s="95">
        <f t="shared" si="5"/>
        <v>169.8</v>
      </c>
      <c r="R17" s="95">
        <f t="shared" si="6"/>
        <v>169.8</v>
      </c>
      <c r="S17" s="95">
        <f t="shared" si="7"/>
        <v>17.7</v>
      </c>
      <c r="T17" s="95">
        <f t="shared" si="8"/>
        <v>569.6</v>
      </c>
      <c r="U17" s="1948"/>
      <c r="V17" s="95">
        <f t="shared" si="20"/>
        <v>569.6</v>
      </c>
      <c r="W17" s="95">
        <f t="shared" si="22"/>
        <v>172</v>
      </c>
      <c r="X17" s="284">
        <v>1</v>
      </c>
      <c r="Y17" s="112">
        <v>30</v>
      </c>
      <c r="Z17" s="113">
        <f t="shared" si="9"/>
        <v>30</v>
      </c>
      <c r="AA17" s="127"/>
      <c r="AB17" s="112">
        <v>15</v>
      </c>
      <c r="AC17" s="113">
        <f t="shared" si="10"/>
        <v>0</v>
      </c>
      <c r="AD17" s="127"/>
      <c r="AE17" s="112">
        <v>30</v>
      </c>
      <c r="AF17" s="113">
        <f t="shared" si="11"/>
        <v>0</v>
      </c>
      <c r="AG17" s="113">
        <f t="shared" si="12"/>
        <v>9</v>
      </c>
      <c r="AH17" s="113">
        <f t="shared" si="13"/>
        <v>39</v>
      </c>
      <c r="AI17" s="114">
        <f t="shared" si="14"/>
        <v>47466.7</v>
      </c>
      <c r="AK17" s="114">
        <f t="shared" si="15"/>
        <v>569.6</v>
      </c>
      <c r="AL17" s="114">
        <f t="shared" si="19"/>
        <v>221.1</v>
      </c>
      <c r="AM17" s="115">
        <v>0.30199999999999999</v>
      </c>
      <c r="AN17" s="50">
        <f t="shared" si="21"/>
        <v>125.3</v>
      </c>
      <c r="AO17" s="242"/>
      <c r="AP17" s="50">
        <f t="shared" si="23"/>
        <v>30.2</v>
      </c>
      <c r="AQ17" s="50">
        <f t="shared" si="16"/>
        <v>155.5</v>
      </c>
      <c r="AS17" s="99">
        <f t="shared" si="17"/>
        <v>12.7095</v>
      </c>
    </row>
    <row r="18" spans="1:45" ht="26.4" x14ac:dyDescent="0.25">
      <c r="A18" s="284">
        <v>10</v>
      </c>
      <c r="B18" s="236" t="s">
        <v>148</v>
      </c>
      <c r="C18" s="127">
        <v>1</v>
      </c>
      <c r="D18" s="237">
        <v>8.4730000000000008</v>
      </c>
      <c r="E18" s="111">
        <f t="shared" si="0"/>
        <v>8.4700000000000006</v>
      </c>
      <c r="F18" s="95">
        <f t="shared" si="1"/>
        <v>101.6</v>
      </c>
      <c r="G18" s="95"/>
      <c r="H18" s="95"/>
      <c r="I18" s="95"/>
      <c r="J18" s="95"/>
      <c r="K18" s="95">
        <f>F18*0.25+D18*0.05*11</f>
        <v>30.1</v>
      </c>
      <c r="L18" s="95">
        <f t="shared" si="18"/>
        <v>15.7</v>
      </c>
      <c r="M18" s="95">
        <f t="shared" si="2"/>
        <v>147.4</v>
      </c>
      <c r="N18" s="111">
        <v>0.41</v>
      </c>
      <c r="O18" s="95">
        <f t="shared" si="3"/>
        <v>60.4</v>
      </c>
      <c r="P18" s="95">
        <f t="shared" si="4"/>
        <v>207.8</v>
      </c>
      <c r="Q18" s="95">
        <f t="shared" si="5"/>
        <v>166.2</v>
      </c>
      <c r="R18" s="95">
        <f t="shared" si="6"/>
        <v>166.2</v>
      </c>
      <c r="S18" s="95">
        <f t="shared" si="7"/>
        <v>17.3</v>
      </c>
      <c r="T18" s="95">
        <f t="shared" si="8"/>
        <v>557.5</v>
      </c>
      <c r="U18" s="1948"/>
      <c r="V18" s="95">
        <f t="shared" si="20"/>
        <v>557.5</v>
      </c>
      <c r="W18" s="95">
        <f t="shared" si="22"/>
        <v>168.4</v>
      </c>
      <c r="X18" s="284">
        <v>1</v>
      </c>
      <c r="Y18" s="112">
        <v>30</v>
      </c>
      <c r="Z18" s="113">
        <f t="shared" si="9"/>
        <v>30</v>
      </c>
      <c r="AA18" s="127"/>
      <c r="AB18" s="112">
        <v>15</v>
      </c>
      <c r="AC18" s="113">
        <f t="shared" si="10"/>
        <v>0</v>
      </c>
      <c r="AD18" s="127"/>
      <c r="AE18" s="112">
        <v>30</v>
      </c>
      <c r="AF18" s="113">
        <f t="shared" si="11"/>
        <v>0</v>
      </c>
      <c r="AG18" s="113">
        <f t="shared" si="12"/>
        <v>9</v>
      </c>
      <c r="AH18" s="113">
        <f t="shared" si="13"/>
        <v>39</v>
      </c>
      <c r="AI18" s="114"/>
      <c r="AK18" s="114">
        <f t="shared" si="15"/>
        <v>557.5</v>
      </c>
      <c r="AL18" s="114"/>
      <c r="AM18" s="115"/>
      <c r="AN18" s="50">
        <f t="shared" si="21"/>
        <v>122.7</v>
      </c>
      <c r="AO18" s="242"/>
      <c r="AP18" s="50">
        <f t="shared" si="23"/>
        <v>29.5</v>
      </c>
      <c r="AQ18" s="50">
        <f t="shared" si="16"/>
        <v>152.19999999999999</v>
      </c>
    </row>
    <row r="19" spans="1:45" ht="26.4" x14ac:dyDescent="0.25">
      <c r="A19" s="284">
        <v>11</v>
      </c>
      <c r="B19" s="236" t="s">
        <v>130</v>
      </c>
      <c r="C19" s="127">
        <v>1</v>
      </c>
      <c r="D19" s="237">
        <v>8.4730000000000008</v>
      </c>
      <c r="E19" s="111">
        <f t="shared" si="0"/>
        <v>8.4700000000000006</v>
      </c>
      <c r="F19" s="95">
        <f t="shared" si="1"/>
        <v>101.6</v>
      </c>
      <c r="G19" s="95"/>
      <c r="H19" s="95"/>
      <c r="I19" s="95"/>
      <c r="J19" s="95"/>
      <c r="K19" s="95"/>
      <c r="L19" s="95">
        <f t="shared" si="18"/>
        <v>15.7</v>
      </c>
      <c r="M19" s="95">
        <f t="shared" si="2"/>
        <v>117.3</v>
      </c>
      <c r="N19" s="111">
        <v>0.47</v>
      </c>
      <c r="O19" s="95">
        <f t="shared" si="3"/>
        <v>55.1</v>
      </c>
      <c r="P19" s="95">
        <f t="shared" si="4"/>
        <v>172.4</v>
      </c>
      <c r="Q19" s="95">
        <f t="shared" si="5"/>
        <v>137.9</v>
      </c>
      <c r="R19" s="95">
        <f t="shared" si="6"/>
        <v>137.9</v>
      </c>
      <c r="S19" s="95">
        <f t="shared" si="7"/>
        <v>14.3</v>
      </c>
      <c r="T19" s="95">
        <f t="shared" si="8"/>
        <v>462.5</v>
      </c>
      <c r="U19" s="1948"/>
      <c r="V19" s="95">
        <f t="shared" si="20"/>
        <v>462.5</v>
      </c>
      <c r="W19" s="95">
        <f t="shared" si="22"/>
        <v>139.69999999999999</v>
      </c>
      <c r="X19" s="284"/>
      <c r="Y19" s="112">
        <v>30</v>
      </c>
      <c r="Z19" s="113">
        <f t="shared" si="9"/>
        <v>0</v>
      </c>
      <c r="AA19" s="127"/>
      <c r="AB19" s="112">
        <v>15</v>
      </c>
      <c r="AC19" s="113">
        <f t="shared" si="10"/>
        <v>0</v>
      </c>
      <c r="AD19" s="127"/>
      <c r="AE19" s="112">
        <v>30</v>
      </c>
      <c r="AF19" s="113">
        <f t="shared" si="11"/>
        <v>0</v>
      </c>
      <c r="AG19" s="113">
        <f t="shared" si="12"/>
        <v>0</v>
      </c>
      <c r="AH19" s="113">
        <f t="shared" si="13"/>
        <v>0</v>
      </c>
      <c r="AI19" s="114"/>
      <c r="AK19" s="114">
        <f t="shared" si="15"/>
        <v>462.5</v>
      </c>
      <c r="AL19" s="114"/>
      <c r="AM19" s="115"/>
      <c r="AN19" s="50">
        <f t="shared" si="21"/>
        <v>101.8</v>
      </c>
      <c r="AO19" s="242"/>
      <c r="AP19" s="50">
        <f t="shared" si="23"/>
        <v>24.5</v>
      </c>
      <c r="AQ19" s="50">
        <f t="shared" si="16"/>
        <v>126.3</v>
      </c>
    </row>
    <row r="20" spans="1:45" x14ac:dyDescent="0.25">
      <c r="A20" s="284">
        <v>12</v>
      </c>
      <c r="B20" s="236" t="s">
        <v>149</v>
      </c>
      <c r="C20" s="127">
        <v>1</v>
      </c>
      <c r="D20" s="237">
        <v>11.061999999999999</v>
      </c>
      <c r="E20" s="111">
        <f t="shared" si="0"/>
        <v>11.06</v>
      </c>
      <c r="F20" s="95">
        <f t="shared" si="1"/>
        <v>132.69999999999999</v>
      </c>
      <c r="G20" s="95"/>
      <c r="H20" s="95"/>
      <c r="I20" s="95"/>
      <c r="J20" s="95"/>
      <c r="K20" s="95"/>
      <c r="L20" s="95">
        <f t="shared" si="18"/>
        <v>20.5</v>
      </c>
      <c r="M20" s="95">
        <f t="shared" si="2"/>
        <v>153.19999999999999</v>
      </c>
      <c r="N20" s="111">
        <v>0.43</v>
      </c>
      <c r="O20" s="95">
        <f t="shared" si="3"/>
        <v>65.900000000000006</v>
      </c>
      <c r="P20" s="95">
        <f t="shared" si="4"/>
        <v>219.1</v>
      </c>
      <c r="Q20" s="95">
        <f t="shared" si="5"/>
        <v>175.3</v>
      </c>
      <c r="R20" s="95">
        <f t="shared" si="6"/>
        <v>175.3</v>
      </c>
      <c r="S20" s="95">
        <f t="shared" si="7"/>
        <v>18.2</v>
      </c>
      <c r="T20" s="95">
        <f t="shared" si="8"/>
        <v>587.9</v>
      </c>
      <c r="U20" s="1948"/>
      <c r="V20" s="95">
        <f t="shared" si="20"/>
        <v>587.9</v>
      </c>
      <c r="W20" s="95">
        <f t="shared" si="22"/>
        <v>177.5</v>
      </c>
      <c r="X20" s="284"/>
      <c r="Y20" s="112">
        <v>30</v>
      </c>
      <c r="Z20" s="113">
        <f t="shared" si="9"/>
        <v>0</v>
      </c>
      <c r="AA20" s="127"/>
      <c r="AB20" s="112">
        <v>15</v>
      </c>
      <c r="AC20" s="113">
        <f t="shared" si="10"/>
        <v>0</v>
      </c>
      <c r="AD20" s="127"/>
      <c r="AE20" s="112">
        <v>30</v>
      </c>
      <c r="AF20" s="113">
        <f t="shared" si="11"/>
        <v>0</v>
      </c>
      <c r="AG20" s="113">
        <f t="shared" si="12"/>
        <v>0</v>
      </c>
      <c r="AH20" s="113">
        <f t="shared" si="13"/>
        <v>0</v>
      </c>
      <c r="AI20" s="114"/>
      <c r="AK20" s="114">
        <f t="shared" si="15"/>
        <v>587.9</v>
      </c>
      <c r="AL20" s="114"/>
      <c r="AM20" s="115"/>
      <c r="AN20" s="50">
        <f t="shared" si="21"/>
        <v>129.30000000000001</v>
      </c>
      <c r="AO20" s="242"/>
      <c r="AP20" s="50">
        <f t="shared" si="23"/>
        <v>31.2</v>
      </c>
      <c r="AQ20" s="50">
        <f t="shared" si="16"/>
        <v>160.5</v>
      </c>
    </row>
    <row r="21" spans="1:45" x14ac:dyDescent="0.25">
      <c r="A21" s="284">
        <v>13</v>
      </c>
      <c r="B21" s="243" t="s">
        <v>42</v>
      </c>
      <c r="C21" s="127">
        <v>1</v>
      </c>
      <c r="D21" s="237">
        <v>11.061999999999999</v>
      </c>
      <c r="E21" s="111">
        <f t="shared" si="0"/>
        <v>11.06</v>
      </c>
      <c r="F21" s="95">
        <f t="shared" si="1"/>
        <v>132.69999999999999</v>
      </c>
      <c r="G21" s="95"/>
      <c r="H21" s="95">
        <f>7789.1/1000</f>
        <v>7.8</v>
      </c>
      <c r="I21" s="95"/>
      <c r="J21" s="95"/>
      <c r="K21" s="95">
        <f>F21*0.3+D21*0.05*2</f>
        <v>40.9</v>
      </c>
      <c r="L21" s="95">
        <f t="shared" si="18"/>
        <v>20.5</v>
      </c>
      <c r="M21" s="95">
        <f t="shared" si="2"/>
        <v>201.9</v>
      </c>
      <c r="N21" s="111">
        <v>0.43</v>
      </c>
      <c r="O21" s="95">
        <f t="shared" si="3"/>
        <v>86.8</v>
      </c>
      <c r="P21" s="95">
        <f t="shared" si="4"/>
        <v>288.7</v>
      </c>
      <c r="Q21" s="95">
        <f t="shared" si="5"/>
        <v>231</v>
      </c>
      <c r="R21" s="95">
        <f t="shared" si="6"/>
        <v>231</v>
      </c>
      <c r="S21" s="95">
        <f t="shared" si="7"/>
        <v>24</v>
      </c>
      <c r="T21" s="95">
        <f t="shared" si="8"/>
        <v>774.7</v>
      </c>
      <c r="U21" s="1948"/>
      <c r="V21" s="95">
        <f t="shared" si="20"/>
        <v>774.7</v>
      </c>
      <c r="W21" s="95">
        <f t="shared" si="22"/>
        <v>234</v>
      </c>
      <c r="X21" s="284"/>
      <c r="Y21" s="112">
        <v>30</v>
      </c>
      <c r="Z21" s="113">
        <f t="shared" si="9"/>
        <v>0</v>
      </c>
      <c r="AA21" s="127"/>
      <c r="AB21" s="112">
        <v>15</v>
      </c>
      <c r="AC21" s="113">
        <f t="shared" si="10"/>
        <v>0</v>
      </c>
      <c r="AD21" s="127"/>
      <c r="AE21" s="112">
        <v>30</v>
      </c>
      <c r="AF21" s="113">
        <f t="shared" si="11"/>
        <v>0</v>
      </c>
      <c r="AG21" s="113">
        <f t="shared" si="12"/>
        <v>0</v>
      </c>
      <c r="AH21" s="113">
        <f t="shared" si="13"/>
        <v>0</v>
      </c>
      <c r="AI21" s="114">
        <f>V21/12/C21*1000</f>
        <v>64558.3</v>
      </c>
      <c r="AK21" s="114">
        <f t="shared" si="15"/>
        <v>774.7</v>
      </c>
      <c r="AL21" s="114">
        <f t="shared" si="19"/>
        <v>258.5</v>
      </c>
      <c r="AM21" s="115">
        <v>0.30199999999999999</v>
      </c>
      <c r="AN21" s="50">
        <f t="shared" si="21"/>
        <v>170.4</v>
      </c>
      <c r="AO21" s="244"/>
      <c r="AP21" s="50">
        <f t="shared" si="23"/>
        <v>41.1</v>
      </c>
      <c r="AQ21" s="50">
        <f t="shared" si="16"/>
        <v>211.5</v>
      </c>
      <c r="AS21" s="99">
        <f>D21*1.5</f>
        <v>16.593</v>
      </c>
    </row>
    <row r="22" spans="1:45" x14ac:dyDescent="0.25">
      <c r="A22" s="284">
        <v>14</v>
      </c>
      <c r="B22" s="236" t="s">
        <v>33</v>
      </c>
      <c r="C22" s="127">
        <v>1</v>
      </c>
      <c r="D22" s="237">
        <v>8.4730000000000008</v>
      </c>
      <c r="E22" s="111">
        <f t="shared" si="0"/>
        <v>8.4700000000000006</v>
      </c>
      <c r="F22" s="95">
        <f t="shared" si="1"/>
        <v>101.6</v>
      </c>
      <c r="G22" s="95">
        <f>18010.1/1000</f>
        <v>18</v>
      </c>
      <c r="H22" s="95">
        <f>4474.6/1000</f>
        <v>4.5</v>
      </c>
      <c r="I22" s="95"/>
      <c r="J22" s="95"/>
      <c r="K22" s="95">
        <f>F22*0.25</f>
        <v>25.4</v>
      </c>
      <c r="L22" s="95">
        <f t="shared" si="18"/>
        <v>15.7</v>
      </c>
      <c r="M22" s="95">
        <f t="shared" si="2"/>
        <v>165.2</v>
      </c>
      <c r="N22" s="111">
        <v>0.41</v>
      </c>
      <c r="O22" s="95">
        <f t="shared" si="3"/>
        <v>67.7</v>
      </c>
      <c r="P22" s="95">
        <f t="shared" si="4"/>
        <v>232.9</v>
      </c>
      <c r="Q22" s="95">
        <f t="shared" si="5"/>
        <v>186.3</v>
      </c>
      <c r="R22" s="95">
        <f t="shared" si="6"/>
        <v>186.3</v>
      </c>
      <c r="S22" s="95">
        <f t="shared" si="7"/>
        <v>19.399999999999999</v>
      </c>
      <c r="T22" s="95">
        <f t="shared" si="8"/>
        <v>624.9</v>
      </c>
      <c r="U22" s="1948"/>
      <c r="V22" s="95">
        <f t="shared" si="20"/>
        <v>624.9</v>
      </c>
      <c r="W22" s="95">
        <f t="shared" si="22"/>
        <v>188.7</v>
      </c>
      <c r="X22" s="238"/>
      <c r="Y22" s="240">
        <v>30</v>
      </c>
      <c r="Z22" s="241">
        <f t="shared" si="9"/>
        <v>0</v>
      </c>
      <c r="AA22" s="238"/>
      <c r="AB22" s="240">
        <v>15</v>
      </c>
      <c r="AC22" s="241">
        <f t="shared" si="10"/>
        <v>0</v>
      </c>
      <c r="AD22" s="238"/>
      <c r="AE22" s="240">
        <v>30</v>
      </c>
      <c r="AF22" s="241">
        <f t="shared" si="11"/>
        <v>0</v>
      </c>
      <c r="AG22" s="241">
        <f t="shared" si="12"/>
        <v>0</v>
      </c>
      <c r="AH22" s="241">
        <f t="shared" si="13"/>
        <v>0</v>
      </c>
      <c r="AI22" s="114">
        <f>V22/12/C22*1000</f>
        <v>52075</v>
      </c>
      <c r="AK22" s="114">
        <f t="shared" si="15"/>
        <v>624.9</v>
      </c>
      <c r="AL22" s="114">
        <f t="shared" si="19"/>
        <v>231.2</v>
      </c>
      <c r="AM22" s="115">
        <v>0.30199999999999999</v>
      </c>
      <c r="AN22" s="50">
        <f t="shared" si="21"/>
        <v>137.5</v>
      </c>
      <c r="AO22" s="244"/>
      <c r="AP22" s="50">
        <f t="shared" si="23"/>
        <v>33.1</v>
      </c>
      <c r="AQ22" s="50">
        <f t="shared" si="16"/>
        <v>170.6</v>
      </c>
      <c r="AR22" s="245"/>
      <c r="AS22" s="99">
        <f>D22*1.5</f>
        <v>12.7095</v>
      </c>
    </row>
    <row r="23" spans="1:45" s="245" customFormat="1" x14ac:dyDescent="0.25">
      <c r="A23" s="284">
        <v>15</v>
      </c>
      <c r="B23" s="236" t="s">
        <v>58</v>
      </c>
      <c r="C23" s="246">
        <v>1</v>
      </c>
      <c r="D23" s="247">
        <v>11.061999999999999</v>
      </c>
      <c r="E23" s="111">
        <f t="shared" si="0"/>
        <v>11.06</v>
      </c>
      <c r="F23" s="95">
        <f t="shared" si="1"/>
        <v>132.69999999999999</v>
      </c>
      <c r="G23" s="248"/>
      <c r="H23" s="248"/>
      <c r="I23" s="248"/>
      <c r="J23" s="248"/>
      <c r="K23" s="248"/>
      <c r="L23" s="95">
        <f t="shared" si="18"/>
        <v>20.5</v>
      </c>
      <c r="M23" s="95">
        <f t="shared" si="2"/>
        <v>153.19999999999999</v>
      </c>
      <c r="N23" s="111">
        <v>0.43</v>
      </c>
      <c r="O23" s="95">
        <f t="shared" si="3"/>
        <v>65.900000000000006</v>
      </c>
      <c r="P23" s="95">
        <f t="shared" si="4"/>
        <v>219.1</v>
      </c>
      <c r="Q23" s="95">
        <f t="shared" si="5"/>
        <v>175.3</v>
      </c>
      <c r="R23" s="95">
        <f t="shared" si="6"/>
        <v>175.3</v>
      </c>
      <c r="S23" s="95">
        <f t="shared" si="7"/>
        <v>18.2</v>
      </c>
      <c r="T23" s="95">
        <f t="shared" si="8"/>
        <v>587.9</v>
      </c>
      <c r="U23" s="1948"/>
      <c r="V23" s="95">
        <f t="shared" si="20"/>
        <v>587.9</v>
      </c>
      <c r="W23" s="95">
        <f t="shared" si="22"/>
        <v>177.5</v>
      </c>
      <c r="X23" s="246"/>
      <c r="Y23" s="240">
        <v>30</v>
      </c>
      <c r="Z23" s="241">
        <f t="shared" si="9"/>
        <v>0</v>
      </c>
      <c r="AA23" s="246"/>
      <c r="AB23" s="240">
        <v>15</v>
      </c>
      <c r="AC23" s="241">
        <f t="shared" si="10"/>
        <v>0</v>
      </c>
      <c r="AD23" s="246"/>
      <c r="AE23" s="240">
        <v>30</v>
      </c>
      <c r="AF23" s="241">
        <f t="shared" si="11"/>
        <v>0</v>
      </c>
      <c r="AG23" s="241">
        <f t="shared" si="12"/>
        <v>0</v>
      </c>
      <c r="AH23" s="241">
        <f t="shared" si="13"/>
        <v>0</v>
      </c>
      <c r="AI23" s="114"/>
      <c r="AK23" s="114">
        <f t="shared" si="15"/>
        <v>587.9</v>
      </c>
      <c r="AL23" s="114"/>
      <c r="AM23" s="115"/>
      <c r="AN23" s="50">
        <f t="shared" si="21"/>
        <v>129.30000000000001</v>
      </c>
      <c r="AO23" s="211"/>
      <c r="AP23" s="50">
        <f t="shared" si="23"/>
        <v>31.2</v>
      </c>
      <c r="AQ23" s="50">
        <f t="shared" si="16"/>
        <v>160.5</v>
      </c>
      <c r="AR23" s="99"/>
      <c r="AS23" s="99"/>
    </row>
    <row r="24" spans="1:45" s="252" customFormat="1" x14ac:dyDescent="0.25">
      <c r="A24" s="284">
        <v>16</v>
      </c>
      <c r="B24" s="236" t="s">
        <v>102</v>
      </c>
      <c r="C24" s="238">
        <v>1</v>
      </c>
      <c r="D24" s="237">
        <v>4.3769999999999998</v>
      </c>
      <c r="E24" s="249">
        <f t="shared" si="0"/>
        <v>4.38</v>
      </c>
      <c r="F24" s="170">
        <f t="shared" si="1"/>
        <v>52.6</v>
      </c>
      <c r="G24" s="248"/>
      <c r="H24" s="248"/>
      <c r="I24" s="248"/>
      <c r="J24" s="248"/>
      <c r="K24" s="248"/>
      <c r="L24" s="95">
        <v>35.200000000000003</v>
      </c>
      <c r="M24" s="248">
        <f t="shared" si="2"/>
        <v>87.8</v>
      </c>
      <c r="N24" s="111">
        <v>0.49</v>
      </c>
      <c r="O24" s="248">
        <f t="shared" si="3"/>
        <v>43</v>
      </c>
      <c r="P24" s="248">
        <f t="shared" si="4"/>
        <v>130.80000000000001</v>
      </c>
      <c r="Q24" s="248">
        <f t="shared" si="5"/>
        <v>104.6</v>
      </c>
      <c r="R24" s="95">
        <f t="shared" si="6"/>
        <v>104.6</v>
      </c>
      <c r="S24" s="248">
        <f t="shared" si="7"/>
        <v>10.9</v>
      </c>
      <c r="T24" s="248">
        <f t="shared" si="8"/>
        <v>350.9</v>
      </c>
      <c r="U24" s="1949"/>
      <c r="V24" s="250">
        <f>T24*$U$9-0.3</f>
        <v>350.6</v>
      </c>
      <c r="W24" s="95">
        <f t="shared" si="22"/>
        <v>105.9</v>
      </c>
      <c r="X24" s="251">
        <v>1</v>
      </c>
      <c r="Y24" s="112">
        <v>30</v>
      </c>
      <c r="Z24" s="113">
        <f t="shared" si="9"/>
        <v>30</v>
      </c>
      <c r="AA24" s="251"/>
      <c r="AB24" s="112">
        <v>15</v>
      </c>
      <c r="AC24" s="113">
        <f t="shared" si="10"/>
        <v>0</v>
      </c>
      <c r="AD24" s="251"/>
      <c r="AE24" s="112">
        <v>30</v>
      </c>
      <c r="AF24" s="113">
        <f t="shared" si="11"/>
        <v>0</v>
      </c>
      <c r="AG24" s="113">
        <f t="shared" si="12"/>
        <v>9</v>
      </c>
      <c r="AH24" s="113">
        <f t="shared" si="13"/>
        <v>39</v>
      </c>
      <c r="AI24" s="114">
        <f>V24/12/C24*1000</f>
        <v>29216.7</v>
      </c>
      <c r="AK24" s="114">
        <f t="shared" si="15"/>
        <v>350.6</v>
      </c>
      <c r="AL24" s="114">
        <f t="shared" si="19"/>
        <v>181.3</v>
      </c>
      <c r="AM24" s="115">
        <v>0.30199999999999999</v>
      </c>
      <c r="AN24" s="50">
        <f t="shared" si="21"/>
        <v>77.099999999999994</v>
      </c>
      <c r="AO24" s="211"/>
      <c r="AP24" s="50">
        <f t="shared" si="23"/>
        <v>18.600000000000001</v>
      </c>
      <c r="AQ24" s="50">
        <f t="shared" si="16"/>
        <v>95.7</v>
      </c>
      <c r="AR24" s="99"/>
      <c r="AS24" s="99">
        <f>D24*1.5</f>
        <v>6.5655000000000001</v>
      </c>
    </row>
    <row r="25" spans="1:45" s="98" customFormat="1" ht="20.25" customHeight="1" x14ac:dyDescent="0.25">
      <c r="A25" s="1946" t="s">
        <v>8</v>
      </c>
      <c r="B25" s="1946"/>
      <c r="C25" s="253">
        <f t="shared" ref="C25:M25" si="24">SUM(C9:C24)</f>
        <v>19</v>
      </c>
      <c r="D25" s="254">
        <f t="shared" si="24"/>
        <v>171.5</v>
      </c>
      <c r="E25" s="254">
        <f t="shared" si="24"/>
        <v>204.7</v>
      </c>
      <c r="F25" s="254">
        <f t="shared" si="24"/>
        <v>2455.8000000000002</v>
      </c>
      <c r="G25" s="254">
        <f t="shared" si="24"/>
        <v>18</v>
      </c>
      <c r="H25" s="254">
        <f t="shared" si="24"/>
        <v>76.7</v>
      </c>
      <c r="I25" s="254">
        <f t="shared" si="24"/>
        <v>0</v>
      </c>
      <c r="J25" s="254">
        <f t="shared" si="24"/>
        <v>2.5</v>
      </c>
      <c r="K25" s="254">
        <f t="shared" si="24"/>
        <v>868.2</v>
      </c>
      <c r="L25" s="254">
        <f t="shared" si="24"/>
        <v>406.5</v>
      </c>
      <c r="M25" s="254">
        <f t="shared" si="24"/>
        <v>3827.7</v>
      </c>
      <c r="N25" s="254"/>
      <c r="O25" s="254">
        <f t="shared" ref="O25:AH25" si="25">SUM(O9:O24)</f>
        <v>1659.4</v>
      </c>
      <c r="P25" s="254">
        <f t="shared" si="25"/>
        <v>5487.1</v>
      </c>
      <c r="Q25" s="254">
        <f t="shared" si="25"/>
        <v>4389.7</v>
      </c>
      <c r="R25" s="254">
        <f t="shared" si="25"/>
        <v>4389.7</v>
      </c>
      <c r="S25" s="254">
        <f t="shared" si="25"/>
        <v>456.3</v>
      </c>
      <c r="T25" s="254">
        <f t="shared" si="25"/>
        <v>14722.8</v>
      </c>
      <c r="U25" s="254">
        <f t="shared" si="25"/>
        <v>1</v>
      </c>
      <c r="V25" s="254">
        <f t="shared" si="25"/>
        <v>14722.5</v>
      </c>
      <c r="W25" s="254">
        <f t="shared" si="25"/>
        <v>4305.6000000000004</v>
      </c>
      <c r="X25" s="254">
        <f t="shared" si="25"/>
        <v>7</v>
      </c>
      <c r="Y25" s="254">
        <f t="shared" si="25"/>
        <v>480</v>
      </c>
      <c r="Z25" s="254">
        <f t="shared" si="25"/>
        <v>210</v>
      </c>
      <c r="AA25" s="254">
        <f t="shared" si="25"/>
        <v>1</v>
      </c>
      <c r="AB25" s="254">
        <f t="shared" si="25"/>
        <v>240</v>
      </c>
      <c r="AC25" s="254">
        <f t="shared" si="25"/>
        <v>15</v>
      </c>
      <c r="AD25" s="254">
        <f t="shared" si="25"/>
        <v>2</v>
      </c>
      <c r="AE25" s="254">
        <f t="shared" si="25"/>
        <v>480</v>
      </c>
      <c r="AF25" s="254">
        <f t="shared" si="25"/>
        <v>60</v>
      </c>
      <c r="AG25" s="254">
        <f t="shared" si="25"/>
        <v>85.5</v>
      </c>
      <c r="AH25" s="254">
        <f t="shared" si="25"/>
        <v>370.5</v>
      </c>
      <c r="AI25" s="114"/>
      <c r="AN25" s="211"/>
      <c r="AO25" s="211"/>
      <c r="AP25" s="211"/>
      <c r="AQ25" s="211"/>
      <c r="AR25" s="99"/>
      <c r="AS25" s="99"/>
    </row>
    <row r="26" spans="1:45" x14ac:dyDescent="0.25">
      <c r="G26" s="131"/>
      <c r="H26" s="131"/>
      <c r="I26" s="131"/>
      <c r="J26" s="131"/>
      <c r="K26" s="131"/>
      <c r="L26" s="131"/>
      <c r="M26" s="131"/>
      <c r="N26" s="131"/>
      <c r="O26" s="131"/>
      <c r="P26" s="131"/>
      <c r="Q26" s="131"/>
      <c r="R26" s="131"/>
      <c r="S26" s="131"/>
      <c r="T26" s="131"/>
      <c r="V26" s="114"/>
      <c r="W26" s="66"/>
      <c r="X26" s="131"/>
      <c r="AA26" s="131"/>
      <c r="AD26" s="131"/>
      <c r="AG26" s="131"/>
      <c r="AH26" s="131"/>
      <c r="AO26" s="50"/>
      <c r="AP26" s="50"/>
      <c r="AQ26" s="50"/>
    </row>
    <row r="27" spans="1:45" x14ac:dyDescent="0.25">
      <c r="B27" s="255"/>
      <c r="C27" s="256"/>
      <c r="D27" s="256"/>
      <c r="E27" s="257"/>
      <c r="F27" s="257"/>
      <c r="G27" s="257"/>
      <c r="H27" s="257"/>
      <c r="I27" s="133"/>
      <c r="J27" s="131"/>
      <c r="K27" s="131"/>
      <c r="L27" s="131"/>
      <c r="M27" s="131"/>
      <c r="N27" s="131"/>
      <c r="O27" s="131"/>
      <c r="P27" s="131"/>
      <c r="Q27" s="131"/>
      <c r="R27" s="131"/>
      <c r="S27" s="131"/>
      <c r="T27" s="131"/>
      <c r="V27" s="114"/>
      <c r="W27" s="114"/>
      <c r="X27" s="131"/>
      <c r="AA27" s="131"/>
      <c r="AD27" s="131"/>
      <c r="AE27" s="131"/>
    </row>
    <row r="28" spans="1:45" s="75" customFormat="1" x14ac:dyDescent="0.25">
      <c r="A28" s="70"/>
      <c r="B28" s="70"/>
      <c r="C28" s="71"/>
      <c r="D28" s="72"/>
      <c r="E28" s="72"/>
      <c r="F28" s="72"/>
      <c r="G28" s="72"/>
      <c r="H28" s="73"/>
      <c r="I28" s="73"/>
      <c r="J28" s="27"/>
      <c r="K28" s="27"/>
      <c r="L28" s="27"/>
      <c r="M28" s="27"/>
      <c r="N28" s="74"/>
      <c r="O28" s="27"/>
      <c r="P28" s="27"/>
      <c r="Q28" s="27"/>
      <c r="R28" s="27"/>
      <c r="S28" s="27"/>
      <c r="T28" s="27"/>
      <c r="U28" s="27"/>
      <c r="V28" s="27"/>
      <c r="W28" s="27"/>
      <c r="X28" s="27"/>
      <c r="Y28" s="27"/>
      <c r="Z28" s="27"/>
      <c r="AA28" s="27"/>
      <c r="AB28" s="27"/>
      <c r="AC28" s="27"/>
      <c r="AD28" s="27"/>
      <c r="AE28" s="27"/>
      <c r="AF28" s="27"/>
      <c r="AG28" s="27"/>
      <c r="AH28" s="27"/>
      <c r="AI28" s="27"/>
      <c r="AJ28" s="76"/>
      <c r="AN28" s="76"/>
      <c r="AO28" s="76"/>
      <c r="AP28" s="76"/>
      <c r="AQ28" s="76"/>
      <c r="AR28" s="76"/>
    </row>
    <row r="29" spans="1:45" s="75" customFormat="1" ht="59.25" customHeight="1" x14ac:dyDescent="0.25">
      <c r="A29" s="70"/>
      <c r="B29" s="70"/>
      <c r="C29" s="71"/>
      <c r="D29" s="77"/>
      <c r="E29" s="77"/>
      <c r="F29" s="27"/>
      <c r="G29" s="1545" t="s">
        <v>140</v>
      </c>
      <c r="H29" s="1545"/>
      <c r="I29" s="1545" t="s">
        <v>145</v>
      </c>
      <c r="J29" s="1545"/>
      <c r="K29" s="1545" t="s">
        <v>128</v>
      </c>
      <c r="L29" s="1545"/>
      <c r="Q29" s="27"/>
      <c r="R29" s="27"/>
      <c r="S29" s="27"/>
      <c r="T29" s="27"/>
      <c r="U29" s="27"/>
      <c r="V29" s="27"/>
      <c r="W29" s="27"/>
      <c r="X29" s="27"/>
      <c r="Y29" s="27"/>
      <c r="Z29" s="27"/>
      <c r="AA29" s="27"/>
      <c r="AB29" s="27"/>
      <c r="AC29" s="27"/>
      <c r="AD29" s="27"/>
      <c r="AE29" s="27"/>
      <c r="AF29" s="27"/>
      <c r="AG29" s="27"/>
      <c r="AH29" s="27"/>
      <c r="AI29" s="27"/>
      <c r="AJ29" s="76"/>
      <c r="AN29" s="76"/>
      <c r="AO29" s="76"/>
      <c r="AP29" s="76"/>
      <c r="AQ29" s="76"/>
      <c r="AR29" s="76"/>
    </row>
    <row r="30" spans="1:45" s="75" customFormat="1" x14ac:dyDescent="0.25">
      <c r="A30" s="70"/>
      <c r="B30" s="70"/>
      <c r="C30" s="71"/>
      <c r="D30" s="77"/>
      <c r="E30" s="77"/>
      <c r="F30" s="27"/>
      <c r="G30" s="279">
        <v>991</v>
      </c>
      <c r="H30" s="279">
        <v>992</v>
      </c>
      <c r="I30" s="279">
        <v>991</v>
      </c>
      <c r="J30" s="279">
        <v>992</v>
      </c>
      <c r="K30" s="279">
        <v>991</v>
      </c>
      <c r="L30" s="279">
        <v>992</v>
      </c>
      <c r="Q30" s="27"/>
      <c r="R30" s="27"/>
      <c r="S30" s="27"/>
      <c r="T30" s="27"/>
      <c r="U30" s="27"/>
      <c r="V30" s="27"/>
      <c r="W30" s="27"/>
      <c r="X30" s="27"/>
      <c r="Y30" s="27"/>
      <c r="Z30" s="27"/>
      <c r="AA30" s="27"/>
      <c r="AB30" s="27"/>
      <c r="AC30" s="27"/>
      <c r="AD30" s="27"/>
      <c r="AE30" s="27"/>
      <c r="AF30" s="27"/>
      <c r="AG30" s="27"/>
      <c r="AH30" s="27"/>
      <c r="AI30" s="27"/>
      <c r="AJ30" s="76"/>
      <c r="AN30" s="76"/>
      <c r="AO30" s="76"/>
      <c r="AP30" s="76"/>
      <c r="AQ30" s="76"/>
      <c r="AR30" s="76"/>
    </row>
    <row r="31" spans="1:45" s="75" customFormat="1" x14ac:dyDescent="0.25">
      <c r="A31" s="70"/>
      <c r="B31" s="70"/>
      <c r="C31" s="71"/>
      <c r="D31" s="77"/>
      <c r="E31" s="77"/>
      <c r="F31" s="27"/>
      <c r="G31" s="29">
        <v>14722.5</v>
      </c>
      <c r="H31" s="29">
        <v>4245.1000000000004</v>
      </c>
      <c r="I31" s="29">
        <f>V25</f>
        <v>14722.5</v>
      </c>
      <c r="J31" s="29">
        <f>W25</f>
        <v>4305.6000000000004</v>
      </c>
      <c r="K31" s="29">
        <f>G31-I31</f>
        <v>0</v>
      </c>
      <c r="L31" s="29">
        <f>H31-J31</f>
        <v>-60.5</v>
      </c>
      <c r="Q31" s="27"/>
      <c r="R31" s="27"/>
      <c r="S31" s="27"/>
      <c r="T31" s="27"/>
      <c r="U31" s="27"/>
      <c r="V31" s="27"/>
      <c r="W31" s="27"/>
      <c r="X31" s="27"/>
      <c r="Y31" s="27"/>
      <c r="Z31" s="27"/>
      <c r="AA31" s="27"/>
      <c r="AB31" s="27"/>
      <c r="AC31" s="27"/>
      <c r="AD31" s="27"/>
      <c r="AE31" s="27"/>
      <c r="AF31" s="27"/>
      <c r="AG31" s="27"/>
      <c r="AH31" s="27"/>
      <c r="AI31" s="27"/>
      <c r="AJ31" s="76"/>
      <c r="AN31" s="76"/>
      <c r="AO31" s="76"/>
      <c r="AP31" s="76"/>
      <c r="AQ31" s="76"/>
      <c r="AR31" s="76"/>
    </row>
    <row r="32" spans="1:45" s="75" customFormat="1" x14ac:dyDescent="0.25">
      <c r="A32" s="70"/>
      <c r="B32" s="70"/>
      <c r="C32" s="71"/>
      <c r="D32" s="77"/>
      <c r="E32" s="77"/>
      <c r="F32" s="27"/>
      <c r="G32" s="27"/>
      <c r="H32" s="80"/>
      <c r="I32" s="27"/>
      <c r="J32" s="80"/>
      <c r="K32" s="27"/>
      <c r="L32" s="27"/>
      <c r="M32" s="27"/>
      <c r="N32" s="74"/>
      <c r="O32" s="27"/>
      <c r="P32" s="27"/>
      <c r="Q32" s="27"/>
      <c r="R32" s="27"/>
      <c r="S32" s="27"/>
      <c r="T32" s="27"/>
      <c r="U32" s="27"/>
      <c r="V32" s="27"/>
      <c r="W32" s="27"/>
      <c r="X32" s="27"/>
      <c r="Y32" s="27"/>
      <c r="Z32" s="27"/>
      <c r="AA32" s="27"/>
      <c r="AB32" s="27"/>
      <c r="AC32" s="27"/>
      <c r="AD32" s="27"/>
      <c r="AE32" s="27"/>
      <c r="AF32" s="27"/>
      <c r="AG32" s="27"/>
      <c r="AH32" s="27"/>
      <c r="AI32" s="27"/>
      <c r="AJ32" s="76"/>
      <c r="AN32" s="76"/>
      <c r="AO32" s="76"/>
      <c r="AP32" s="76"/>
      <c r="AQ32" s="76"/>
      <c r="AR32" s="76"/>
    </row>
    <row r="33" spans="1:44" s="75" customFormat="1" x14ac:dyDescent="0.25">
      <c r="A33" s="70"/>
      <c r="B33" s="70"/>
      <c r="C33" s="71"/>
      <c r="D33" s="77"/>
      <c r="E33" s="77"/>
      <c r="F33" s="27"/>
      <c r="G33" s="27"/>
      <c r="H33" s="80"/>
      <c r="I33" s="27"/>
      <c r="J33" s="80"/>
      <c r="K33" s="27"/>
      <c r="L33" s="27"/>
      <c r="M33" s="27"/>
      <c r="N33" s="74"/>
      <c r="O33" s="27"/>
      <c r="P33" s="27"/>
      <c r="Q33" s="27"/>
      <c r="R33" s="27"/>
      <c r="S33" s="27"/>
      <c r="T33" s="27"/>
      <c r="U33" s="27"/>
      <c r="V33" s="27"/>
      <c r="W33" s="27"/>
      <c r="X33" s="27"/>
      <c r="Y33" s="27"/>
      <c r="Z33" s="27"/>
      <c r="AA33" s="27"/>
      <c r="AB33" s="27"/>
      <c r="AC33" s="27"/>
      <c r="AD33" s="27"/>
      <c r="AE33" s="27"/>
      <c r="AF33" s="27"/>
      <c r="AG33" s="27"/>
      <c r="AH33" s="27"/>
      <c r="AI33" s="27"/>
      <c r="AJ33" s="76"/>
      <c r="AN33" s="76"/>
      <c r="AO33" s="76"/>
      <c r="AP33" s="76"/>
      <c r="AQ33" s="76"/>
      <c r="AR33" s="76"/>
    </row>
    <row r="34" spans="1:44" s="75" customFormat="1" x14ac:dyDescent="0.25">
      <c r="A34" s="70"/>
      <c r="B34" s="70"/>
      <c r="C34" s="71"/>
      <c r="D34" s="77"/>
      <c r="E34" s="77"/>
      <c r="F34" s="27"/>
      <c r="G34" s="27"/>
      <c r="H34" s="80"/>
      <c r="I34" s="27"/>
      <c r="J34" s="80"/>
      <c r="K34" s="27"/>
      <c r="L34" s="27"/>
      <c r="M34" s="27"/>
      <c r="N34" s="74"/>
      <c r="O34" s="27"/>
      <c r="P34" s="27"/>
      <c r="Q34" s="27"/>
      <c r="R34" s="27"/>
      <c r="S34" s="27"/>
      <c r="T34" s="27"/>
      <c r="U34" s="27"/>
      <c r="V34" s="27"/>
      <c r="W34" s="27"/>
      <c r="X34" s="27"/>
      <c r="Y34" s="27"/>
      <c r="Z34" s="27"/>
      <c r="AA34" s="27"/>
      <c r="AB34" s="27"/>
      <c r="AC34" s="27"/>
      <c r="AD34" s="27"/>
      <c r="AE34" s="27"/>
      <c r="AF34" s="27"/>
      <c r="AG34" s="27"/>
      <c r="AH34" s="27"/>
      <c r="AI34" s="27"/>
      <c r="AJ34" s="76"/>
      <c r="AN34" s="76"/>
      <c r="AO34" s="76"/>
      <c r="AP34" s="76"/>
      <c r="AQ34" s="76"/>
      <c r="AR34" s="76"/>
    </row>
    <row r="35" spans="1:44" s="75" customFormat="1" x14ac:dyDescent="0.25">
      <c r="A35" s="70"/>
      <c r="B35" s="70"/>
      <c r="C35" s="71"/>
      <c r="D35" s="77"/>
      <c r="E35" s="77"/>
      <c r="F35" s="27"/>
      <c r="G35" s="27"/>
      <c r="H35" s="80"/>
      <c r="I35" s="27"/>
      <c r="J35" s="80"/>
      <c r="K35" s="27"/>
      <c r="L35" s="27"/>
      <c r="M35" s="27"/>
      <c r="N35" s="74"/>
      <c r="O35" s="27"/>
      <c r="P35" s="27"/>
      <c r="Q35" s="27"/>
      <c r="R35" s="27"/>
      <c r="S35" s="27"/>
      <c r="T35" s="27"/>
      <c r="U35" s="27"/>
      <c r="V35" s="27"/>
      <c r="W35" s="27"/>
      <c r="X35" s="27"/>
      <c r="Y35" s="27"/>
      <c r="Z35" s="27"/>
      <c r="AA35" s="27"/>
      <c r="AB35" s="27"/>
      <c r="AC35" s="27"/>
      <c r="AD35" s="27"/>
      <c r="AE35" s="27"/>
      <c r="AF35" s="27"/>
      <c r="AG35" s="27"/>
      <c r="AH35" s="27"/>
      <c r="AI35" s="27"/>
      <c r="AJ35" s="76"/>
      <c r="AN35" s="76"/>
      <c r="AO35" s="76"/>
      <c r="AP35" s="76"/>
      <c r="AQ35" s="76"/>
      <c r="AR35" s="76"/>
    </row>
    <row r="36" spans="1:44" s="282" customFormat="1" ht="21" x14ac:dyDescent="0.25">
      <c r="A36" s="81"/>
      <c r="B36" s="82" t="s">
        <v>138</v>
      </c>
      <c r="C36" s="83"/>
      <c r="D36" s="84"/>
      <c r="E36" s="84"/>
      <c r="F36" s="85"/>
      <c r="G36" s="85"/>
      <c r="H36" s="86"/>
      <c r="I36" s="86"/>
      <c r="J36" s="85"/>
      <c r="K36" s="30" t="s">
        <v>166</v>
      </c>
      <c r="L36" s="85"/>
      <c r="M36" s="85"/>
      <c r="N36" s="87"/>
      <c r="O36" s="85"/>
      <c r="P36" s="85"/>
      <c r="Q36" s="85"/>
      <c r="R36" s="85"/>
      <c r="S36" s="85"/>
      <c r="T36" s="85"/>
      <c r="U36" s="85"/>
      <c r="V36" s="85"/>
      <c r="W36" s="85"/>
      <c r="X36" s="85"/>
      <c r="Y36" s="85"/>
      <c r="Z36" s="85"/>
      <c r="AA36" s="85"/>
      <c r="AB36" s="85"/>
      <c r="AC36" s="85"/>
      <c r="AD36" s="85"/>
      <c r="AE36" s="85"/>
      <c r="AF36" s="85"/>
      <c r="AG36" s="85"/>
      <c r="AH36" s="85"/>
      <c r="AI36" s="85"/>
      <c r="AK36" s="88"/>
      <c r="AL36" s="88"/>
      <c r="AM36" s="88"/>
      <c r="AN36" s="88"/>
      <c r="AO36" s="88"/>
    </row>
    <row r="37" spans="1:44" s="143" customFormat="1" x14ac:dyDescent="0.25">
      <c r="A37" s="136"/>
      <c r="B37" s="136"/>
      <c r="C37" s="137"/>
      <c r="D37" s="144"/>
      <c r="E37" s="144"/>
      <c r="F37" s="140"/>
      <c r="G37" s="140"/>
      <c r="H37" s="139"/>
      <c r="I37" s="139"/>
      <c r="J37" s="140"/>
      <c r="K37" s="140"/>
      <c r="L37" s="140"/>
      <c r="M37" s="140"/>
      <c r="N37" s="141"/>
      <c r="O37" s="140"/>
      <c r="P37" s="140"/>
      <c r="Q37" s="140"/>
      <c r="R37" s="140"/>
      <c r="S37" s="140"/>
      <c r="T37" s="140"/>
      <c r="U37" s="140"/>
      <c r="V37" s="140"/>
      <c r="W37" s="140"/>
      <c r="X37" s="140"/>
      <c r="Y37" s="140"/>
      <c r="Z37" s="140"/>
      <c r="AA37" s="140"/>
      <c r="AB37" s="140"/>
      <c r="AC37" s="140"/>
      <c r="AD37" s="140"/>
      <c r="AE37" s="140"/>
      <c r="AF37" s="142"/>
      <c r="AK37" s="142"/>
      <c r="AL37" s="142"/>
      <c r="AM37" s="142"/>
      <c r="AN37" s="76"/>
      <c r="AO37" s="76"/>
      <c r="AP37" s="76"/>
      <c r="AQ37" s="76"/>
      <c r="AR37" s="99"/>
    </row>
    <row r="38" spans="1:44" s="143" customFormat="1" x14ac:dyDescent="0.25">
      <c r="A38" s="136"/>
      <c r="B38" s="136"/>
      <c r="C38" s="137"/>
      <c r="D38" s="144"/>
      <c r="E38" s="144"/>
      <c r="F38" s="140"/>
      <c r="G38" s="140"/>
      <c r="H38" s="139"/>
      <c r="I38" s="139"/>
      <c r="J38" s="140"/>
      <c r="K38" s="140"/>
      <c r="L38" s="140"/>
      <c r="M38" s="140"/>
      <c r="N38" s="202"/>
      <c r="O38" s="203"/>
      <c r="P38" s="140"/>
      <c r="Q38" s="140"/>
      <c r="R38" s="140"/>
      <c r="S38" s="140"/>
      <c r="T38" s="140"/>
      <c r="U38" s="140"/>
      <c r="V38" s="140"/>
      <c r="W38" s="140"/>
      <c r="X38" s="140"/>
      <c r="Y38" s="140"/>
      <c r="Z38" s="140"/>
      <c r="AA38" s="140"/>
      <c r="AB38" s="140"/>
      <c r="AC38" s="140"/>
      <c r="AD38" s="140"/>
      <c r="AE38" s="140"/>
      <c r="AF38" s="142"/>
      <c r="AK38" s="142"/>
      <c r="AL38" s="142"/>
      <c r="AM38" s="142"/>
      <c r="AN38" s="76"/>
      <c r="AO38" s="76"/>
      <c r="AP38" s="76"/>
      <c r="AQ38" s="76"/>
      <c r="AR38" s="252"/>
    </row>
    <row r="39" spans="1:44" s="143" customFormat="1" ht="20.25" customHeight="1" x14ac:dyDescent="0.25">
      <c r="A39" s="145" t="s">
        <v>96</v>
      </c>
      <c r="B39" s="145"/>
      <c r="C39" s="146"/>
      <c r="D39" s="146"/>
      <c r="E39" s="146"/>
      <c r="F39" s="146"/>
      <c r="G39" s="146"/>
      <c r="H39" s="146"/>
      <c r="I39" s="146"/>
      <c r="J39" s="146"/>
      <c r="K39" s="146"/>
      <c r="L39" s="147"/>
      <c r="M39" s="147"/>
      <c r="N39" s="202"/>
      <c r="O39" s="203"/>
      <c r="P39" s="147"/>
      <c r="Q39" s="147"/>
      <c r="R39" s="147"/>
      <c r="S39" s="147"/>
      <c r="T39" s="147"/>
      <c r="U39" s="147"/>
      <c r="V39" s="147"/>
      <c r="W39" s="147"/>
      <c r="X39" s="147"/>
      <c r="Y39" s="147"/>
      <c r="Z39" s="147"/>
      <c r="AA39" s="147"/>
      <c r="AB39" s="147"/>
      <c r="AC39" s="147"/>
      <c r="AD39" s="147"/>
      <c r="AE39" s="147"/>
      <c r="AF39" s="142"/>
      <c r="AK39" s="142"/>
      <c r="AL39" s="142"/>
      <c r="AM39" s="142"/>
      <c r="AN39" s="76"/>
      <c r="AO39" s="76"/>
      <c r="AP39" s="76"/>
      <c r="AQ39" s="76"/>
      <c r="AR39" s="99"/>
    </row>
    <row r="40" spans="1:44" s="143" customFormat="1" ht="20.25" customHeight="1" x14ac:dyDescent="0.25">
      <c r="A40" s="145" t="s">
        <v>139</v>
      </c>
      <c r="B40" s="149"/>
      <c r="C40" s="150"/>
      <c r="D40" s="150"/>
      <c r="E40" s="151"/>
      <c r="F40" s="151"/>
      <c r="G40" s="151"/>
      <c r="H40" s="151"/>
      <c r="I40" s="151"/>
      <c r="J40" s="151"/>
      <c r="K40" s="151"/>
      <c r="L40" s="147"/>
      <c r="M40" s="147"/>
      <c r="N40" s="202"/>
      <c r="O40" s="203"/>
      <c r="P40" s="147"/>
      <c r="Q40" s="147"/>
      <c r="R40" s="147"/>
      <c r="S40" s="147"/>
      <c r="T40" s="147"/>
      <c r="U40" s="147"/>
      <c r="V40" s="147"/>
      <c r="W40" s="147"/>
      <c r="X40" s="147"/>
      <c r="Y40" s="147"/>
      <c r="Z40" s="147"/>
      <c r="AA40" s="147"/>
      <c r="AB40" s="147"/>
      <c r="AC40" s="147"/>
      <c r="AD40" s="147"/>
      <c r="AE40" s="147"/>
      <c r="AF40" s="142"/>
      <c r="AK40" s="142"/>
      <c r="AL40" s="142"/>
      <c r="AM40" s="142"/>
      <c r="AN40" s="76"/>
      <c r="AO40" s="76"/>
      <c r="AP40" s="76"/>
      <c r="AQ40" s="76"/>
      <c r="AR40" s="252"/>
    </row>
    <row r="41" spans="1:44" x14ac:dyDescent="0.25">
      <c r="A41" s="99"/>
      <c r="I41" s="153"/>
      <c r="J41" s="153"/>
      <c r="W41" s="131"/>
      <c r="X41" s="131"/>
      <c r="AA41" s="131"/>
      <c r="AD41" s="131"/>
      <c r="AE41" s="131"/>
      <c r="AN41" s="76"/>
      <c r="AO41" s="76"/>
      <c r="AP41" s="76"/>
      <c r="AQ41" s="76"/>
      <c r="AR41" s="98"/>
    </row>
    <row r="42" spans="1:44" ht="16.8" x14ac:dyDescent="0.25">
      <c r="A42" s="258"/>
      <c r="W42" s="131"/>
      <c r="X42" s="131"/>
      <c r="AA42" s="131"/>
      <c r="AD42" s="131"/>
      <c r="AE42" s="131"/>
    </row>
    <row r="43" spans="1:44" x14ac:dyDescent="0.25">
      <c r="AG43" s="114"/>
    </row>
    <row r="45" spans="1:44" x14ac:dyDescent="0.25">
      <c r="E45" s="115"/>
    </row>
    <row r="46" spans="1:44" x14ac:dyDescent="0.25">
      <c r="E46" s="115"/>
    </row>
    <row r="47" spans="1:44" x14ac:dyDescent="0.25">
      <c r="E47" s="115"/>
      <c r="K47" s="153"/>
    </row>
    <row r="48" spans="1:44" x14ac:dyDescent="0.25">
      <c r="A48" s="99"/>
      <c r="E48" s="115"/>
    </row>
    <row r="49" spans="1:45" x14ac:dyDescent="0.25">
      <c r="A49" s="99"/>
      <c r="E49" s="115"/>
    </row>
    <row r="50" spans="1:45" x14ac:dyDescent="0.25">
      <c r="A50" s="99"/>
      <c r="E50" s="115"/>
    </row>
    <row r="51" spans="1:45" x14ac:dyDescent="0.25">
      <c r="A51" s="99"/>
      <c r="E51" s="115"/>
    </row>
    <row r="52" spans="1:45" x14ac:dyDescent="0.25">
      <c r="A52" s="99"/>
      <c r="E52" s="115"/>
    </row>
    <row r="53" spans="1:45" x14ac:dyDescent="0.25">
      <c r="A53" s="99"/>
      <c r="E53" s="115"/>
    </row>
    <row r="54" spans="1:45" x14ac:dyDescent="0.25">
      <c r="A54" s="99"/>
      <c r="E54" s="115"/>
    </row>
    <row r="55" spans="1:45" x14ac:dyDescent="0.25">
      <c r="A55" s="99"/>
      <c r="E55" s="115"/>
    </row>
    <row r="56" spans="1:45" x14ac:dyDescent="0.25">
      <c r="A56" s="99"/>
      <c r="E56" s="115"/>
    </row>
    <row r="57" spans="1:45" x14ac:dyDescent="0.25">
      <c r="A57" s="99"/>
      <c r="E57" s="115"/>
    </row>
    <row r="58" spans="1:45" x14ac:dyDescent="0.25">
      <c r="A58" s="99"/>
      <c r="E58" s="115"/>
    </row>
    <row r="59" spans="1:45" x14ac:dyDescent="0.25">
      <c r="A59" s="99"/>
      <c r="E59" s="115"/>
    </row>
    <row r="60" spans="1:45" s="211" customFormat="1" x14ac:dyDescent="0.25">
      <c r="A60" s="99"/>
      <c r="B60" s="99"/>
      <c r="C60" s="99"/>
      <c r="D60" s="99"/>
      <c r="E60" s="115"/>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R60" s="99"/>
      <c r="AS60" s="99"/>
    </row>
    <row r="61" spans="1:45" s="211" customFormat="1" x14ac:dyDescent="0.25">
      <c r="A61" s="99"/>
      <c r="B61" s="99"/>
      <c r="C61" s="99"/>
      <c r="D61" s="99"/>
      <c r="E61" s="115"/>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R61" s="99"/>
      <c r="AS61" s="99"/>
    </row>
    <row r="62" spans="1:45" s="211" customFormat="1" x14ac:dyDescent="0.25">
      <c r="A62" s="99"/>
      <c r="B62" s="99"/>
      <c r="C62" s="99"/>
      <c r="D62" s="99"/>
      <c r="E62" s="115"/>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R62" s="99"/>
      <c r="AS62" s="99"/>
    </row>
    <row r="63" spans="1:45" s="211" customFormat="1" x14ac:dyDescent="0.25">
      <c r="A63" s="99"/>
      <c r="B63" s="99"/>
      <c r="C63" s="99"/>
      <c r="D63" s="99"/>
      <c r="E63" s="115"/>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R63" s="99"/>
      <c r="AS63" s="99"/>
    </row>
    <row r="64" spans="1:45" s="211" customFormat="1" x14ac:dyDescent="0.25">
      <c r="A64" s="99"/>
      <c r="B64" s="99"/>
      <c r="C64" s="99"/>
      <c r="D64" s="99"/>
      <c r="E64" s="115"/>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R64" s="99"/>
      <c r="AS64" s="99"/>
    </row>
    <row r="65" spans="1:45" s="211" customFormat="1" x14ac:dyDescent="0.25">
      <c r="A65" s="99"/>
      <c r="B65" s="99"/>
      <c r="C65" s="99"/>
      <c r="D65" s="99"/>
      <c r="E65" s="115"/>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R65" s="99"/>
      <c r="AS65" s="99"/>
    </row>
    <row r="66" spans="1:45" s="211" customFormat="1" x14ac:dyDescent="0.25">
      <c r="A66" s="99"/>
      <c r="B66" s="99"/>
      <c r="C66" s="99"/>
      <c r="D66" s="99"/>
      <c r="E66" s="115"/>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R66" s="99"/>
      <c r="AS66" s="99"/>
    </row>
  </sheetData>
  <autoFilter ref="A8:AS25"/>
  <mergeCells count="37">
    <mergeCell ref="G29:H29"/>
    <mergeCell ref="I29:J29"/>
    <mergeCell ref="K29:L29"/>
    <mergeCell ref="AA6:AC6"/>
    <mergeCell ref="J6:J7"/>
    <mergeCell ref="K6:K7"/>
    <mergeCell ref="AH6:AH7"/>
    <mergeCell ref="U9:U24"/>
    <mergeCell ref="A25:B25"/>
    <mergeCell ref="S6:S7"/>
    <mergeCell ref="T6:T7"/>
    <mergeCell ref="U6:U7"/>
    <mergeCell ref="V6:V7"/>
    <mergeCell ref="W6:W7"/>
    <mergeCell ref="X6:Z6"/>
    <mergeCell ref="L6:L7"/>
    <mergeCell ref="F6:F7"/>
    <mergeCell ref="G6:G7"/>
    <mergeCell ref="H6:H7"/>
    <mergeCell ref="I6:I7"/>
    <mergeCell ref="R6:R7"/>
    <mergeCell ref="AE1:AH1"/>
    <mergeCell ref="A2:AH2"/>
    <mergeCell ref="A3:AH3"/>
    <mergeCell ref="A5:A7"/>
    <mergeCell ref="B5:B7"/>
    <mergeCell ref="C5:C7"/>
    <mergeCell ref="D5:W5"/>
    <mergeCell ref="X5:AH5"/>
    <mergeCell ref="D6:D7"/>
    <mergeCell ref="E6:E7"/>
    <mergeCell ref="AG6:AG7"/>
    <mergeCell ref="M6:M7"/>
    <mergeCell ref="N6:O6"/>
    <mergeCell ref="P6:P7"/>
    <mergeCell ref="Q6:Q7"/>
    <mergeCell ref="AD6:AF6"/>
  </mergeCells>
  <printOptions horizontalCentered="1"/>
  <pageMargins left="0" right="0" top="0" bottom="0" header="0.31496062992125984" footer="0.31496062992125984"/>
  <pageSetup paperSize="9" scale="39"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S68"/>
  <sheetViews>
    <sheetView view="pageBreakPreview" zoomScale="80" zoomScaleNormal="70" zoomScaleSheetLayoutView="80" workbookViewId="0">
      <pane xSplit="3" ySplit="8" topLeftCell="D21"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10.33203125" style="99" customWidth="1"/>
    <col min="2" max="2" width="30.77734375" style="99" customWidth="1"/>
    <col min="3" max="22" width="13.44140625" style="99" customWidth="1"/>
    <col min="23" max="23" width="12" style="99" customWidth="1"/>
    <col min="24" max="24" width="11.44140625" style="99" customWidth="1"/>
    <col min="25" max="25" width="12.33203125" style="99" customWidth="1"/>
    <col min="26" max="26" width="9.6640625" style="99" customWidth="1"/>
    <col min="27" max="32" width="8.44140625" style="99" customWidth="1"/>
    <col min="33" max="33" width="9.33203125" style="99" customWidth="1"/>
    <col min="34" max="34" width="10.6640625" style="99" customWidth="1"/>
    <col min="35" max="35" width="13.44140625" style="99" customWidth="1"/>
    <col min="36" max="36" width="12.6640625" style="99" customWidth="1"/>
    <col min="37" max="37" width="13" style="99" bestFit="1" customWidth="1"/>
    <col min="38" max="38" width="0" style="99" hidden="1" customWidth="1"/>
    <col min="39" max="39" width="13" style="99" hidden="1" customWidth="1"/>
    <col min="40" max="42" width="9.33203125" style="211"/>
    <col min="43" max="43" width="11.33203125" style="211" bestFit="1" customWidth="1"/>
    <col min="44" max="16384" width="9.33203125" style="99"/>
  </cols>
  <sheetData>
    <row r="1" spans="1:45" ht="22.5" customHeight="1" x14ac:dyDescent="0.25">
      <c r="AE1" s="1546"/>
      <c r="AF1" s="1546"/>
      <c r="AG1" s="1546"/>
      <c r="AH1" s="1546"/>
    </row>
    <row r="2" spans="1:45" ht="24" customHeight="1" x14ac:dyDescent="0.25">
      <c r="A2" s="1547" t="s">
        <v>163</v>
      </c>
      <c r="B2" s="1547"/>
      <c r="C2" s="1547"/>
      <c r="D2" s="1547"/>
      <c r="E2" s="1547"/>
      <c r="F2" s="1547"/>
      <c r="G2" s="1547"/>
      <c r="H2" s="1547"/>
      <c r="I2" s="1547"/>
      <c r="J2" s="1547"/>
      <c r="K2" s="1547"/>
      <c r="L2" s="1547"/>
      <c r="M2" s="1547"/>
      <c r="N2" s="1547"/>
      <c r="O2" s="1547"/>
      <c r="P2" s="1547"/>
      <c r="Q2" s="1547"/>
      <c r="R2" s="1547"/>
      <c r="S2" s="1547"/>
      <c r="T2" s="1547"/>
      <c r="U2" s="1547"/>
      <c r="V2" s="1547"/>
      <c r="W2" s="1547"/>
      <c r="X2" s="1547"/>
      <c r="Y2" s="1547"/>
      <c r="Z2" s="1547"/>
      <c r="AA2" s="1547"/>
      <c r="AB2" s="1547"/>
      <c r="AC2" s="1547"/>
      <c r="AD2" s="1547"/>
      <c r="AE2" s="1547"/>
      <c r="AF2" s="1547"/>
      <c r="AG2" s="1547"/>
      <c r="AH2" s="1547"/>
      <c r="AI2" s="235"/>
    </row>
    <row r="3" spans="1:45" ht="24.75" customHeight="1" x14ac:dyDescent="0.25">
      <c r="A3" s="1548"/>
      <c r="B3" s="1548"/>
      <c r="C3" s="1548"/>
      <c r="D3" s="1548"/>
      <c r="E3" s="1548"/>
      <c r="F3" s="1548"/>
      <c r="G3" s="1548"/>
      <c r="H3" s="1548"/>
      <c r="I3" s="1548"/>
      <c r="J3" s="1548"/>
      <c r="K3" s="1548"/>
      <c r="L3" s="1548"/>
      <c r="M3" s="1548"/>
      <c r="N3" s="1548"/>
      <c r="O3" s="1548"/>
      <c r="P3" s="1548"/>
      <c r="Q3" s="1548"/>
      <c r="R3" s="1548"/>
      <c r="S3" s="1548"/>
      <c r="T3" s="1548"/>
      <c r="U3" s="1548"/>
      <c r="V3" s="1548"/>
      <c r="W3" s="1548"/>
      <c r="X3" s="1548"/>
      <c r="Y3" s="1548"/>
      <c r="Z3" s="1548"/>
      <c r="AA3" s="1548"/>
      <c r="AB3" s="1548"/>
      <c r="AC3" s="1548"/>
      <c r="AD3" s="1548"/>
      <c r="AE3" s="1548"/>
      <c r="AF3" s="1548"/>
      <c r="AG3" s="1548"/>
      <c r="AH3" s="1548"/>
      <c r="AI3" s="287"/>
    </row>
    <row r="4" spans="1:45" x14ac:dyDescent="0.25">
      <c r="L4" s="38">
        <v>0.27208500000000002</v>
      </c>
      <c r="M4" s="38"/>
    </row>
    <row r="5" spans="1:45" ht="38.25" customHeight="1" x14ac:dyDescent="0.25">
      <c r="A5" s="1549" t="s">
        <v>78</v>
      </c>
      <c r="B5" s="1549" t="s">
        <v>77</v>
      </c>
      <c r="C5" s="1550" t="s">
        <v>0</v>
      </c>
      <c r="D5" s="1550" t="s">
        <v>3</v>
      </c>
      <c r="E5" s="1550"/>
      <c r="F5" s="1550"/>
      <c r="G5" s="1550"/>
      <c r="H5" s="1550"/>
      <c r="I5" s="1550"/>
      <c r="J5" s="1550"/>
      <c r="K5" s="1550"/>
      <c r="L5" s="1550"/>
      <c r="M5" s="1550"/>
      <c r="N5" s="1550"/>
      <c r="O5" s="1550"/>
      <c r="P5" s="1550"/>
      <c r="Q5" s="1550"/>
      <c r="R5" s="1550"/>
      <c r="S5" s="1550"/>
      <c r="T5" s="1550"/>
      <c r="U5" s="1550"/>
      <c r="V5" s="1550"/>
      <c r="W5" s="1550"/>
      <c r="X5" s="1550" t="s">
        <v>4</v>
      </c>
      <c r="Y5" s="1550"/>
      <c r="Z5" s="1550"/>
      <c r="AA5" s="1550"/>
      <c r="AB5" s="1550"/>
      <c r="AC5" s="1550"/>
      <c r="AD5" s="1550"/>
      <c r="AE5" s="1550"/>
      <c r="AF5" s="1550"/>
      <c r="AG5" s="1550"/>
      <c r="AH5" s="1550"/>
    </row>
    <row r="6" spans="1:45" ht="60" customHeight="1" x14ac:dyDescent="0.25">
      <c r="A6" s="1549"/>
      <c r="B6" s="1549"/>
      <c r="C6" s="1550"/>
      <c r="D6" s="1551" t="s">
        <v>68</v>
      </c>
      <c r="E6" s="1551" t="s">
        <v>69</v>
      </c>
      <c r="F6" s="1551" t="s">
        <v>89</v>
      </c>
      <c r="G6" s="1551" t="s">
        <v>1</v>
      </c>
      <c r="H6" s="1551" t="s">
        <v>2</v>
      </c>
      <c r="I6" s="1551" t="s">
        <v>70</v>
      </c>
      <c r="J6" s="1551" t="s">
        <v>61</v>
      </c>
      <c r="K6" s="1551" t="s">
        <v>27</v>
      </c>
      <c r="L6" s="1553" t="s">
        <v>65</v>
      </c>
      <c r="M6" s="1553" t="s">
        <v>86</v>
      </c>
      <c r="N6" s="1554" t="s">
        <v>90</v>
      </c>
      <c r="O6" s="1554"/>
      <c r="P6" s="1554" t="s">
        <v>88</v>
      </c>
      <c r="Q6" s="1553" t="s">
        <v>82</v>
      </c>
      <c r="R6" s="1551" t="s">
        <v>83</v>
      </c>
      <c r="S6" s="1553" t="s">
        <v>87</v>
      </c>
      <c r="T6" s="1551" t="s">
        <v>84</v>
      </c>
      <c r="U6" s="1551" t="s">
        <v>9</v>
      </c>
      <c r="V6" s="1551" t="s">
        <v>7</v>
      </c>
      <c r="W6" s="1551" t="s">
        <v>85</v>
      </c>
      <c r="X6" s="1550" t="s">
        <v>10</v>
      </c>
      <c r="Y6" s="1550"/>
      <c r="Z6" s="1550"/>
      <c r="AA6" s="1550" t="s">
        <v>11</v>
      </c>
      <c r="AB6" s="1550"/>
      <c r="AC6" s="1550"/>
      <c r="AD6" s="1550" t="s">
        <v>12</v>
      </c>
      <c r="AE6" s="1550"/>
      <c r="AF6" s="1550"/>
      <c r="AG6" s="1550" t="s">
        <v>13</v>
      </c>
      <c r="AH6" s="1550" t="s">
        <v>73</v>
      </c>
    </row>
    <row r="7" spans="1:45" ht="97.5" customHeight="1" x14ac:dyDescent="0.25">
      <c r="A7" s="1549"/>
      <c r="B7" s="1549"/>
      <c r="C7" s="1550"/>
      <c r="D7" s="1551"/>
      <c r="E7" s="1551"/>
      <c r="F7" s="1551"/>
      <c r="G7" s="1551"/>
      <c r="H7" s="1551"/>
      <c r="I7" s="1551"/>
      <c r="J7" s="1551"/>
      <c r="K7" s="1551"/>
      <c r="L7" s="1553" t="s">
        <v>66</v>
      </c>
      <c r="M7" s="1553"/>
      <c r="N7" s="286" t="s">
        <v>80</v>
      </c>
      <c r="O7" s="286" t="s">
        <v>81</v>
      </c>
      <c r="P7" s="1554"/>
      <c r="Q7" s="1553"/>
      <c r="R7" s="1551"/>
      <c r="S7" s="1553" t="s">
        <v>67</v>
      </c>
      <c r="T7" s="1551"/>
      <c r="U7" s="1551"/>
      <c r="V7" s="1551"/>
      <c r="W7" s="1551"/>
      <c r="X7" s="285" t="s">
        <v>5</v>
      </c>
      <c r="Y7" s="285" t="s">
        <v>6</v>
      </c>
      <c r="Z7" s="285" t="s">
        <v>74</v>
      </c>
      <c r="AA7" s="285" t="s">
        <v>5</v>
      </c>
      <c r="AB7" s="285" t="s">
        <v>6</v>
      </c>
      <c r="AC7" s="285" t="s">
        <v>75</v>
      </c>
      <c r="AD7" s="285" t="s">
        <v>5</v>
      </c>
      <c r="AE7" s="285" t="s">
        <v>6</v>
      </c>
      <c r="AF7" s="285" t="s">
        <v>76</v>
      </c>
      <c r="AG7" s="1550"/>
      <c r="AH7" s="1550"/>
      <c r="AK7" s="99" t="s">
        <v>64</v>
      </c>
      <c r="AL7" s="99" t="s">
        <v>62</v>
      </c>
      <c r="AM7" s="99" t="s">
        <v>63</v>
      </c>
    </row>
    <row r="8" spans="1:45" ht="18" customHeight="1" x14ac:dyDescent="0.25">
      <c r="A8" s="284">
        <v>1</v>
      </c>
      <c r="B8" s="284">
        <v>2</v>
      </c>
      <c r="C8" s="284">
        <v>3</v>
      </c>
      <c r="D8" s="284">
        <v>4</v>
      </c>
      <c r="E8" s="284">
        <v>5</v>
      </c>
      <c r="F8" s="284">
        <v>6</v>
      </c>
      <c r="G8" s="284">
        <v>7</v>
      </c>
      <c r="H8" s="284">
        <v>8</v>
      </c>
      <c r="I8" s="284">
        <v>9</v>
      </c>
      <c r="J8" s="284">
        <v>10</v>
      </c>
      <c r="K8" s="284">
        <v>11</v>
      </c>
      <c r="L8" s="284">
        <v>12</v>
      </c>
      <c r="M8" s="284">
        <v>13</v>
      </c>
      <c r="N8" s="284">
        <v>14</v>
      </c>
      <c r="O8" s="284">
        <v>15</v>
      </c>
      <c r="P8" s="284">
        <v>16</v>
      </c>
      <c r="Q8" s="284">
        <v>17</v>
      </c>
      <c r="R8" s="284">
        <v>18</v>
      </c>
      <c r="S8" s="284">
        <v>19</v>
      </c>
      <c r="T8" s="284">
        <v>20</v>
      </c>
      <c r="U8" s="284">
        <v>21</v>
      </c>
      <c r="V8" s="284">
        <v>22</v>
      </c>
      <c r="W8" s="284">
        <v>23</v>
      </c>
      <c r="X8" s="284">
        <v>24</v>
      </c>
      <c r="Y8" s="284">
        <v>25</v>
      </c>
      <c r="Z8" s="284">
        <v>26</v>
      </c>
      <c r="AA8" s="284">
        <v>27</v>
      </c>
      <c r="AB8" s="284">
        <v>28</v>
      </c>
      <c r="AC8" s="284">
        <v>29</v>
      </c>
      <c r="AD8" s="284">
        <v>30</v>
      </c>
      <c r="AE8" s="284">
        <v>31</v>
      </c>
      <c r="AF8" s="284">
        <v>32</v>
      </c>
      <c r="AG8" s="284">
        <v>33</v>
      </c>
      <c r="AH8" s="284">
        <v>34</v>
      </c>
      <c r="AN8" s="212" t="s">
        <v>116</v>
      </c>
      <c r="AO8" s="212" t="s">
        <v>117</v>
      </c>
      <c r="AP8" s="212" t="s">
        <v>118</v>
      </c>
      <c r="AQ8" s="212" t="s">
        <v>119</v>
      </c>
    </row>
    <row r="9" spans="1:45" ht="16.5" customHeight="1" x14ac:dyDescent="0.25">
      <c r="A9" s="284">
        <v>1</v>
      </c>
      <c r="B9" s="236" t="s">
        <v>14</v>
      </c>
      <c r="C9" s="259">
        <v>1</v>
      </c>
      <c r="D9" s="237">
        <v>25.873000000000001</v>
      </c>
      <c r="E9" s="260">
        <f t="shared" ref="E9:E27" si="0">C9*D9</f>
        <v>25.87</v>
      </c>
      <c r="F9" s="185">
        <f t="shared" ref="F9:F27" si="1">E9*12</f>
        <v>310.39999999999998</v>
      </c>
      <c r="G9" s="95"/>
      <c r="H9" s="95"/>
      <c r="I9" s="95"/>
      <c r="J9" s="95"/>
      <c r="K9" s="95"/>
      <c r="L9" s="95">
        <f>F9*$L$4</f>
        <v>84.5</v>
      </c>
      <c r="M9" s="95">
        <f t="shared" ref="M9:M27" si="2">F9+G9+H9+I9+J9+K9+L9</f>
        <v>394.9</v>
      </c>
      <c r="N9" s="111">
        <v>0.47</v>
      </c>
      <c r="O9" s="95">
        <f t="shared" ref="O9:O27" si="3">M9*N9</f>
        <v>185.6</v>
      </c>
      <c r="P9" s="95">
        <f t="shared" ref="P9:P27" si="4">M9+O9</f>
        <v>580.5</v>
      </c>
      <c r="Q9" s="95">
        <f t="shared" ref="Q9:Q27" si="5">P9*0.8</f>
        <v>464.4</v>
      </c>
      <c r="R9" s="95">
        <f t="shared" ref="R9:R27" si="6">P9*0.8</f>
        <v>464.4</v>
      </c>
      <c r="S9" s="95">
        <f t="shared" ref="S9:S27" si="7">(P9+Q9+R9)*0.032</f>
        <v>48.3</v>
      </c>
      <c r="T9" s="95">
        <f t="shared" ref="T9:T27" si="8">P9+Q9+R9+S9</f>
        <v>1557.6</v>
      </c>
      <c r="U9" s="1947">
        <v>1</v>
      </c>
      <c r="V9" s="95">
        <f t="shared" ref="V9:V26" si="9">T9*$U$9</f>
        <v>1557.6</v>
      </c>
      <c r="W9" s="95">
        <f>AQ9</f>
        <v>401.5</v>
      </c>
      <c r="X9" s="284">
        <v>1</v>
      </c>
      <c r="Y9" s="112">
        <v>30</v>
      </c>
      <c r="Z9" s="113">
        <f t="shared" ref="Z9:Z27" si="10">X9*Y9</f>
        <v>30</v>
      </c>
      <c r="AA9" s="284"/>
      <c r="AB9" s="112">
        <v>15</v>
      </c>
      <c r="AC9" s="113">
        <f t="shared" ref="AC9:AC27" si="11">AA9*AB9</f>
        <v>0</v>
      </c>
      <c r="AD9" s="284"/>
      <c r="AE9" s="112">
        <v>30</v>
      </c>
      <c r="AF9" s="113">
        <f t="shared" ref="AF9:AF27" si="12">AD9*AE9</f>
        <v>0</v>
      </c>
      <c r="AG9" s="113">
        <f t="shared" ref="AG9:AG27" si="13">(Z9+AC9+AF9)*1%*30</f>
        <v>9</v>
      </c>
      <c r="AH9" s="113">
        <f t="shared" ref="AH9:AH27" si="14">Z9+AC9+AF9+AG9</f>
        <v>39</v>
      </c>
      <c r="AI9" s="131">
        <f t="shared" ref="AI9:AI23" si="15">V9/12/C9*1000</f>
        <v>129800</v>
      </c>
      <c r="AK9" s="114">
        <f t="shared" ref="AK9:AK23" si="16">V9/C9</f>
        <v>1557.6</v>
      </c>
      <c r="AL9" s="114">
        <f>((979*0.302)+((AK9-979)*0.182))</f>
        <v>401</v>
      </c>
      <c r="AM9" s="115">
        <f>AL9/AK9</f>
        <v>0.25700000000000001</v>
      </c>
      <c r="AN9" s="50">
        <f>1150*0.22+(AK9-1150)*0.1</f>
        <v>293.8</v>
      </c>
      <c r="AO9" s="50">
        <f>865*0.029</f>
        <v>25.1</v>
      </c>
      <c r="AP9" s="50">
        <f>AK9*0.053</f>
        <v>82.6</v>
      </c>
      <c r="AQ9" s="50">
        <f>SUM(AN9:AP9)*C9</f>
        <v>401.5</v>
      </c>
      <c r="AS9" s="99">
        <f t="shared" ref="AS9:AS27" si="17">D9*1.5</f>
        <v>38.8095</v>
      </c>
    </row>
    <row r="10" spans="1:45" x14ac:dyDescent="0.25">
      <c r="A10" s="284">
        <v>2</v>
      </c>
      <c r="B10" s="236" t="s">
        <v>127</v>
      </c>
      <c r="C10" s="259">
        <v>2</v>
      </c>
      <c r="D10" s="237">
        <v>18.111000000000001</v>
      </c>
      <c r="E10" s="260">
        <f t="shared" si="0"/>
        <v>36.22</v>
      </c>
      <c r="F10" s="185">
        <f t="shared" si="1"/>
        <v>434.6</v>
      </c>
      <c r="G10" s="95"/>
      <c r="H10" s="95">
        <f>7.062+7.945</f>
        <v>15</v>
      </c>
      <c r="I10" s="95"/>
      <c r="J10" s="95"/>
      <c r="K10" s="95">
        <f>(D10*0.4+D10*0.2)*12</f>
        <v>130.4</v>
      </c>
      <c r="L10" s="95">
        <f t="shared" ref="L10:L25" si="18">F10*$L$4</f>
        <v>118.2</v>
      </c>
      <c r="M10" s="95">
        <f t="shared" si="2"/>
        <v>698.2</v>
      </c>
      <c r="N10" s="111">
        <v>0.47</v>
      </c>
      <c r="O10" s="95">
        <f t="shared" si="3"/>
        <v>328.2</v>
      </c>
      <c r="P10" s="95">
        <f t="shared" si="4"/>
        <v>1026.4000000000001</v>
      </c>
      <c r="Q10" s="95">
        <f t="shared" si="5"/>
        <v>821.1</v>
      </c>
      <c r="R10" s="95">
        <f t="shared" si="6"/>
        <v>821.1</v>
      </c>
      <c r="S10" s="95">
        <f t="shared" si="7"/>
        <v>85.4</v>
      </c>
      <c r="T10" s="95">
        <f t="shared" si="8"/>
        <v>2754</v>
      </c>
      <c r="U10" s="1948"/>
      <c r="V10" s="95">
        <f t="shared" si="9"/>
        <v>2754</v>
      </c>
      <c r="W10" s="95">
        <f>AQ10</f>
        <v>747.6</v>
      </c>
      <c r="X10" s="284"/>
      <c r="Y10" s="112">
        <v>30</v>
      </c>
      <c r="Z10" s="113">
        <f t="shared" si="10"/>
        <v>0</v>
      </c>
      <c r="AA10" s="284"/>
      <c r="AB10" s="112">
        <v>15</v>
      </c>
      <c r="AC10" s="113">
        <f t="shared" si="11"/>
        <v>0</v>
      </c>
      <c r="AD10" s="284"/>
      <c r="AE10" s="112">
        <v>30</v>
      </c>
      <c r="AF10" s="113">
        <f t="shared" si="12"/>
        <v>0</v>
      </c>
      <c r="AG10" s="113">
        <f t="shared" si="13"/>
        <v>0</v>
      </c>
      <c r="AH10" s="113">
        <f t="shared" si="14"/>
        <v>0</v>
      </c>
      <c r="AI10" s="131">
        <f t="shared" si="15"/>
        <v>114750</v>
      </c>
      <c r="AK10" s="114">
        <f t="shared" si="16"/>
        <v>1377</v>
      </c>
      <c r="AL10" s="114">
        <f t="shared" ref="AL10:AL27" si="19">((979*0.302)+((AK10-979)*0.182))</f>
        <v>368.1</v>
      </c>
      <c r="AM10" s="115">
        <f>AL10/AK10</f>
        <v>0.26700000000000002</v>
      </c>
      <c r="AN10" s="50">
        <f>1150*0.22+(AK10-1150)*0.1</f>
        <v>275.7</v>
      </c>
      <c r="AO10" s="50">
        <f>865*0.029</f>
        <v>25.1</v>
      </c>
      <c r="AP10" s="50">
        <f>AK10*0.053</f>
        <v>73</v>
      </c>
      <c r="AQ10" s="50">
        <f>SUM(AN10:AP10)*C10</f>
        <v>747.6</v>
      </c>
      <c r="AS10" s="99">
        <f t="shared" si="17"/>
        <v>27.166499999999999</v>
      </c>
    </row>
    <row r="11" spans="1:45" ht="15.75" customHeight="1" x14ac:dyDescent="0.25">
      <c r="A11" s="284">
        <v>3</v>
      </c>
      <c r="B11" s="261" t="s">
        <v>23</v>
      </c>
      <c r="C11" s="262">
        <v>4</v>
      </c>
      <c r="D11" s="237">
        <v>11.061999999999999</v>
      </c>
      <c r="E11" s="111">
        <f t="shared" si="0"/>
        <v>44.25</v>
      </c>
      <c r="F11" s="95">
        <f t="shared" si="1"/>
        <v>531</v>
      </c>
      <c r="G11" s="95"/>
      <c r="H11" s="95">
        <f>2.757+7.01+7.01+7.789</f>
        <v>24.6</v>
      </c>
      <c r="I11" s="95"/>
      <c r="J11" s="95"/>
      <c r="K11" s="95">
        <f>(D11*0.4*3+D11*0.25)*12</f>
        <v>192.5</v>
      </c>
      <c r="L11" s="95">
        <f t="shared" si="18"/>
        <v>144.5</v>
      </c>
      <c r="M11" s="95">
        <f t="shared" si="2"/>
        <v>892.6</v>
      </c>
      <c r="N11" s="111">
        <v>0.43</v>
      </c>
      <c r="O11" s="95">
        <f t="shared" si="3"/>
        <v>383.8</v>
      </c>
      <c r="P11" s="95">
        <f t="shared" si="4"/>
        <v>1276.4000000000001</v>
      </c>
      <c r="Q11" s="95">
        <f t="shared" si="5"/>
        <v>1021.1</v>
      </c>
      <c r="R11" s="95">
        <f t="shared" si="6"/>
        <v>1021.1</v>
      </c>
      <c r="S11" s="95">
        <f t="shared" si="7"/>
        <v>106.2</v>
      </c>
      <c r="T11" s="95">
        <f t="shared" si="8"/>
        <v>3424.8</v>
      </c>
      <c r="U11" s="1948"/>
      <c r="V11" s="95">
        <f>T11*$U$9</f>
        <v>3424.8</v>
      </c>
      <c r="W11" s="95">
        <f>V11*0.302</f>
        <v>1034.3</v>
      </c>
      <c r="X11" s="239">
        <v>2</v>
      </c>
      <c r="Y11" s="240">
        <v>30</v>
      </c>
      <c r="Z11" s="241">
        <f t="shared" si="10"/>
        <v>60</v>
      </c>
      <c r="AA11" s="239"/>
      <c r="AB11" s="240">
        <v>15</v>
      </c>
      <c r="AC11" s="241">
        <f t="shared" si="11"/>
        <v>0</v>
      </c>
      <c r="AD11" s="239">
        <v>2</v>
      </c>
      <c r="AE11" s="240">
        <v>30</v>
      </c>
      <c r="AF11" s="241">
        <f t="shared" si="12"/>
        <v>60</v>
      </c>
      <c r="AG11" s="241">
        <f t="shared" si="13"/>
        <v>36</v>
      </c>
      <c r="AH11" s="241">
        <f t="shared" si="14"/>
        <v>156</v>
      </c>
      <c r="AI11" s="131">
        <f t="shared" si="15"/>
        <v>71350</v>
      </c>
      <c r="AK11" s="114">
        <f t="shared" si="16"/>
        <v>856.2</v>
      </c>
      <c r="AL11" s="114">
        <f t="shared" si="19"/>
        <v>273.3</v>
      </c>
      <c r="AM11" s="115">
        <v>0.30199999999999999</v>
      </c>
      <c r="AN11" s="50"/>
      <c r="AO11" s="50"/>
      <c r="AP11" s="50"/>
      <c r="AQ11" s="50"/>
      <c r="AS11" s="99">
        <f t="shared" si="17"/>
        <v>16.593</v>
      </c>
    </row>
    <row r="12" spans="1:45" x14ac:dyDescent="0.25">
      <c r="A12" s="284">
        <v>4</v>
      </c>
      <c r="B12" s="261" t="s">
        <v>47</v>
      </c>
      <c r="C12" s="262">
        <v>1</v>
      </c>
      <c r="D12" s="237">
        <v>6.2859999999999996</v>
      </c>
      <c r="E12" s="111">
        <f t="shared" si="0"/>
        <v>6.29</v>
      </c>
      <c r="F12" s="95">
        <f t="shared" si="1"/>
        <v>75.5</v>
      </c>
      <c r="G12" s="95"/>
      <c r="H12" s="95">
        <f>3064.3/1000</f>
        <v>3.1</v>
      </c>
      <c r="I12" s="95"/>
      <c r="J12" s="95"/>
      <c r="K12" s="95">
        <f>F12*0.25</f>
        <v>18.899999999999999</v>
      </c>
      <c r="L12" s="95">
        <f t="shared" si="18"/>
        <v>20.5</v>
      </c>
      <c r="M12" s="95">
        <f t="shared" si="2"/>
        <v>118</v>
      </c>
      <c r="N12" s="111">
        <v>0.45</v>
      </c>
      <c r="O12" s="95">
        <f t="shared" si="3"/>
        <v>53.1</v>
      </c>
      <c r="P12" s="95">
        <f t="shared" si="4"/>
        <v>171.1</v>
      </c>
      <c r="Q12" s="95">
        <f t="shared" si="5"/>
        <v>136.9</v>
      </c>
      <c r="R12" s="95">
        <f t="shared" si="6"/>
        <v>136.9</v>
      </c>
      <c r="S12" s="95">
        <f t="shared" si="7"/>
        <v>14.2</v>
      </c>
      <c r="T12" s="95">
        <f t="shared" si="8"/>
        <v>459.1</v>
      </c>
      <c r="U12" s="1948"/>
      <c r="V12" s="95">
        <f t="shared" si="9"/>
        <v>459.1</v>
      </c>
      <c r="W12" s="95">
        <f t="shared" ref="W12:W27" si="20">V12*0.302</f>
        <v>138.6</v>
      </c>
      <c r="X12" s="239">
        <v>1</v>
      </c>
      <c r="Y12" s="240">
        <v>30</v>
      </c>
      <c r="Z12" s="241">
        <f t="shared" si="10"/>
        <v>30</v>
      </c>
      <c r="AA12" s="239"/>
      <c r="AB12" s="240">
        <v>15</v>
      </c>
      <c r="AC12" s="241">
        <f t="shared" si="11"/>
        <v>0</v>
      </c>
      <c r="AD12" s="239"/>
      <c r="AE12" s="240">
        <v>30</v>
      </c>
      <c r="AF12" s="241">
        <f t="shared" si="12"/>
        <v>0</v>
      </c>
      <c r="AG12" s="241">
        <f t="shared" si="13"/>
        <v>9</v>
      </c>
      <c r="AH12" s="241">
        <f t="shared" si="14"/>
        <v>39</v>
      </c>
      <c r="AI12" s="131">
        <f t="shared" si="15"/>
        <v>38258.33</v>
      </c>
      <c r="AK12" s="114">
        <f t="shared" si="16"/>
        <v>459.1</v>
      </c>
      <c r="AL12" s="114">
        <f t="shared" si="19"/>
        <v>201</v>
      </c>
      <c r="AM12" s="115">
        <v>0.30199999999999999</v>
      </c>
      <c r="AO12" s="50"/>
      <c r="AP12" s="50"/>
      <c r="AQ12" s="50"/>
      <c r="AS12" s="99">
        <f t="shared" si="17"/>
        <v>9.4290000000000003</v>
      </c>
    </row>
    <row r="13" spans="1:45" x14ac:dyDescent="0.25">
      <c r="A13" s="284">
        <v>5</v>
      </c>
      <c r="B13" s="236" t="s">
        <v>15</v>
      </c>
      <c r="C13" s="262">
        <v>1</v>
      </c>
      <c r="D13" s="237">
        <v>11.061999999999999</v>
      </c>
      <c r="E13" s="111">
        <f t="shared" si="0"/>
        <v>11.06</v>
      </c>
      <c r="F13" s="95">
        <f t="shared" si="1"/>
        <v>132.69999999999999</v>
      </c>
      <c r="G13" s="95"/>
      <c r="H13" s="95"/>
      <c r="I13" s="95"/>
      <c r="J13" s="95"/>
      <c r="K13" s="95">
        <f>D11*0.25*4.6+D11*0.3*7.4</f>
        <v>37.299999999999997</v>
      </c>
      <c r="L13" s="95">
        <f t="shared" si="18"/>
        <v>36.1</v>
      </c>
      <c r="M13" s="95">
        <f t="shared" si="2"/>
        <v>206.1</v>
      </c>
      <c r="N13" s="111">
        <v>0.43</v>
      </c>
      <c r="O13" s="95">
        <f t="shared" si="3"/>
        <v>88.6</v>
      </c>
      <c r="P13" s="95">
        <f t="shared" si="4"/>
        <v>294.7</v>
      </c>
      <c r="Q13" s="95">
        <f t="shared" si="5"/>
        <v>235.8</v>
      </c>
      <c r="R13" s="95">
        <f t="shared" si="6"/>
        <v>235.8</v>
      </c>
      <c r="S13" s="95">
        <f t="shared" si="7"/>
        <v>24.5</v>
      </c>
      <c r="T13" s="95">
        <f t="shared" si="8"/>
        <v>790.8</v>
      </c>
      <c r="U13" s="1948"/>
      <c r="V13" s="95">
        <f t="shared" si="9"/>
        <v>790.8</v>
      </c>
      <c r="W13" s="95">
        <f t="shared" si="20"/>
        <v>238.8</v>
      </c>
      <c r="X13" s="239"/>
      <c r="Y13" s="240">
        <v>30</v>
      </c>
      <c r="Z13" s="241">
        <f t="shared" si="10"/>
        <v>0</v>
      </c>
      <c r="AA13" s="239"/>
      <c r="AB13" s="240">
        <v>15</v>
      </c>
      <c r="AC13" s="241">
        <f t="shared" si="11"/>
        <v>0</v>
      </c>
      <c r="AD13" s="239"/>
      <c r="AE13" s="240">
        <v>30</v>
      </c>
      <c r="AF13" s="241">
        <f t="shared" si="12"/>
        <v>0</v>
      </c>
      <c r="AG13" s="241">
        <f t="shared" si="13"/>
        <v>0</v>
      </c>
      <c r="AH13" s="241">
        <f t="shared" si="14"/>
        <v>0</v>
      </c>
      <c r="AI13" s="131">
        <f t="shared" si="15"/>
        <v>65900</v>
      </c>
      <c r="AK13" s="114">
        <f t="shared" si="16"/>
        <v>790.8</v>
      </c>
      <c r="AL13" s="114">
        <f t="shared" si="19"/>
        <v>261.39999999999998</v>
      </c>
      <c r="AM13" s="115">
        <v>0.30199999999999999</v>
      </c>
      <c r="AN13" s="50"/>
      <c r="AO13" s="50"/>
      <c r="AP13" s="50"/>
      <c r="AQ13" s="50"/>
      <c r="AS13" s="99">
        <f t="shared" si="17"/>
        <v>16.593</v>
      </c>
    </row>
    <row r="14" spans="1:45" s="245" customFormat="1" x14ac:dyDescent="0.25">
      <c r="A14" s="284">
        <v>6</v>
      </c>
      <c r="B14" s="261" t="s">
        <v>48</v>
      </c>
      <c r="C14" s="262">
        <v>1</v>
      </c>
      <c r="D14" s="237">
        <v>11.061999999999999</v>
      </c>
      <c r="E14" s="249">
        <f t="shared" si="0"/>
        <v>11.06</v>
      </c>
      <c r="F14" s="248">
        <f t="shared" si="1"/>
        <v>132.69999999999999</v>
      </c>
      <c r="G14" s="248"/>
      <c r="H14" s="248">
        <v>7</v>
      </c>
      <c r="I14" s="248"/>
      <c r="J14" s="248"/>
      <c r="K14" s="248">
        <f>F14*0.4</f>
        <v>53.1</v>
      </c>
      <c r="L14" s="95">
        <f t="shared" si="18"/>
        <v>36.1</v>
      </c>
      <c r="M14" s="248">
        <f t="shared" si="2"/>
        <v>228.9</v>
      </c>
      <c r="N14" s="111">
        <v>0.47</v>
      </c>
      <c r="O14" s="248">
        <f t="shared" si="3"/>
        <v>107.6</v>
      </c>
      <c r="P14" s="248">
        <f t="shared" si="4"/>
        <v>336.5</v>
      </c>
      <c r="Q14" s="248">
        <f t="shared" si="5"/>
        <v>269.2</v>
      </c>
      <c r="R14" s="248">
        <f t="shared" si="6"/>
        <v>269.2</v>
      </c>
      <c r="S14" s="248">
        <f t="shared" si="7"/>
        <v>28</v>
      </c>
      <c r="T14" s="248">
        <f t="shared" si="8"/>
        <v>902.9</v>
      </c>
      <c r="U14" s="1948"/>
      <c r="V14" s="248">
        <f t="shared" si="9"/>
        <v>902.9</v>
      </c>
      <c r="W14" s="95">
        <f>AQ14</f>
        <v>271.60000000000002</v>
      </c>
      <c r="X14" s="239"/>
      <c r="Y14" s="240">
        <v>30</v>
      </c>
      <c r="Z14" s="241">
        <f t="shared" si="10"/>
        <v>0</v>
      </c>
      <c r="AA14" s="239"/>
      <c r="AB14" s="240">
        <v>15</v>
      </c>
      <c r="AC14" s="241">
        <f t="shared" si="11"/>
        <v>0</v>
      </c>
      <c r="AD14" s="239"/>
      <c r="AE14" s="240">
        <v>30</v>
      </c>
      <c r="AF14" s="241">
        <f t="shared" si="12"/>
        <v>0</v>
      </c>
      <c r="AG14" s="241">
        <f t="shared" si="13"/>
        <v>0</v>
      </c>
      <c r="AH14" s="241">
        <f t="shared" si="14"/>
        <v>0</v>
      </c>
      <c r="AI14" s="131">
        <f t="shared" si="15"/>
        <v>75241.67</v>
      </c>
      <c r="AK14" s="114">
        <f t="shared" si="16"/>
        <v>902.9</v>
      </c>
      <c r="AL14" s="114">
        <f t="shared" si="19"/>
        <v>281.8</v>
      </c>
      <c r="AM14" s="115">
        <v>0.30199999999999999</v>
      </c>
      <c r="AN14" s="50">
        <f>AK14*0.22</f>
        <v>198.6</v>
      </c>
      <c r="AO14" s="50">
        <f>865*0.029</f>
        <v>25.1</v>
      </c>
      <c r="AP14" s="50">
        <f>AK14*0.053</f>
        <v>47.9</v>
      </c>
      <c r="AQ14" s="50">
        <f>SUM(AN14:AP14)*C14</f>
        <v>271.60000000000002</v>
      </c>
      <c r="AS14" s="99">
        <f t="shared" si="17"/>
        <v>16.593</v>
      </c>
    </row>
    <row r="15" spans="1:45" x14ac:dyDescent="0.25">
      <c r="A15" s="284">
        <v>7</v>
      </c>
      <c r="B15" s="236" t="s">
        <v>49</v>
      </c>
      <c r="C15" s="259">
        <v>1</v>
      </c>
      <c r="D15" s="237">
        <v>8.4730000000000008</v>
      </c>
      <c r="E15" s="111">
        <f t="shared" si="0"/>
        <v>8.4700000000000006</v>
      </c>
      <c r="F15" s="95">
        <f t="shared" si="1"/>
        <v>101.6</v>
      </c>
      <c r="G15" s="95"/>
      <c r="H15" s="95">
        <v>6</v>
      </c>
      <c r="I15" s="95"/>
      <c r="J15" s="95"/>
      <c r="K15" s="95">
        <f>F15*0.2</f>
        <v>20.3</v>
      </c>
      <c r="L15" s="95">
        <f t="shared" si="18"/>
        <v>27.6</v>
      </c>
      <c r="M15" s="95">
        <f t="shared" si="2"/>
        <v>155.5</v>
      </c>
      <c r="N15" s="111">
        <v>0.41</v>
      </c>
      <c r="O15" s="95">
        <f t="shared" si="3"/>
        <v>63.8</v>
      </c>
      <c r="P15" s="95">
        <f t="shared" si="4"/>
        <v>219.3</v>
      </c>
      <c r="Q15" s="95">
        <f t="shared" si="5"/>
        <v>175.4</v>
      </c>
      <c r="R15" s="95">
        <f t="shared" si="6"/>
        <v>175.4</v>
      </c>
      <c r="S15" s="95">
        <f t="shared" si="7"/>
        <v>18.2</v>
      </c>
      <c r="T15" s="95">
        <f t="shared" si="8"/>
        <v>588.29999999999995</v>
      </c>
      <c r="U15" s="1948"/>
      <c r="V15" s="95">
        <f t="shared" si="9"/>
        <v>588.29999999999995</v>
      </c>
      <c r="W15" s="95">
        <f t="shared" si="20"/>
        <v>177.7</v>
      </c>
      <c r="X15" s="284"/>
      <c r="Y15" s="112">
        <v>30</v>
      </c>
      <c r="Z15" s="113">
        <f t="shared" si="10"/>
        <v>0</v>
      </c>
      <c r="AA15" s="127"/>
      <c r="AB15" s="112">
        <v>15</v>
      </c>
      <c r="AC15" s="113">
        <f t="shared" si="11"/>
        <v>0</v>
      </c>
      <c r="AD15" s="127"/>
      <c r="AE15" s="112">
        <v>30</v>
      </c>
      <c r="AF15" s="113">
        <f t="shared" si="12"/>
        <v>0</v>
      </c>
      <c r="AG15" s="113">
        <f t="shared" si="13"/>
        <v>0</v>
      </c>
      <c r="AH15" s="113">
        <f t="shared" si="14"/>
        <v>0</v>
      </c>
      <c r="AI15" s="131">
        <f t="shared" si="15"/>
        <v>49025</v>
      </c>
      <c r="AK15" s="114">
        <f t="shared" si="16"/>
        <v>588.29999999999995</v>
      </c>
      <c r="AL15" s="114">
        <f t="shared" si="19"/>
        <v>224.6</v>
      </c>
      <c r="AM15" s="115">
        <v>0.30199999999999999</v>
      </c>
      <c r="AO15" s="50"/>
      <c r="AP15" s="50"/>
      <c r="AQ15" s="50"/>
      <c r="AS15" s="99">
        <f t="shared" si="17"/>
        <v>12.7095</v>
      </c>
    </row>
    <row r="16" spans="1:45" x14ac:dyDescent="0.25">
      <c r="A16" s="284">
        <v>8</v>
      </c>
      <c r="B16" s="236" t="s">
        <v>59</v>
      </c>
      <c r="C16" s="259">
        <v>1</v>
      </c>
      <c r="D16" s="237">
        <v>8.4730000000000008</v>
      </c>
      <c r="E16" s="111">
        <f t="shared" si="0"/>
        <v>8.4700000000000006</v>
      </c>
      <c r="F16" s="95">
        <f t="shared" si="1"/>
        <v>101.6</v>
      </c>
      <c r="G16" s="95"/>
      <c r="H16" s="95">
        <v>5.4</v>
      </c>
      <c r="I16" s="95"/>
      <c r="J16" s="95"/>
      <c r="K16" s="95">
        <f>F16*0.4</f>
        <v>40.6</v>
      </c>
      <c r="L16" s="95">
        <f t="shared" si="18"/>
        <v>27.6</v>
      </c>
      <c r="M16" s="95">
        <f t="shared" si="2"/>
        <v>175.2</v>
      </c>
      <c r="N16" s="111">
        <v>0.41</v>
      </c>
      <c r="O16" s="95">
        <f t="shared" si="3"/>
        <v>71.8</v>
      </c>
      <c r="P16" s="95">
        <f t="shared" si="4"/>
        <v>247</v>
      </c>
      <c r="Q16" s="95">
        <f t="shared" si="5"/>
        <v>197.6</v>
      </c>
      <c r="R16" s="95">
        <f t="shared" si="6"/>
        <v>197.6</v>
      </c>
      <c r="S16" s="95">
        <f t="shared" si="7"/>
        <v>20.6</v>
      </c>
      <c r="T16" s="95">
        <f t="shared" si="8"/>
        <v>662.8</v>
      </c>
      <c r="U16" s="1948"/>
      <c r="V16" s="95">
        <f t="shared" si="9"/>
        <v>662.8</v>
      </c>
      <c r="W16" s="95">
        <f t="shared" si="20"/>
        <v>200.2</v>
      </c>
      <c r="X16" s="284"/>
      <c r="Y16" s="112">
        <v>30</v>
      </c>
      <c r="Z16" s="113">
        <f t="shared" si="10"/>
        <v>0</v>
      </c>
      <c r="AA16" s="127"/>
      <c r="AB16" s="112">
        <v>15</v>
      </c>
      <c r="AC16" s="113">
        <f t="shared" si="11"/>
        <v>0</v>
      </c>
      <c r="AD16" s="127"/>
      <c r="AE16" s="112">
        <v>30</v>
      </c>
      <c r="AF16" s="113">
        <f t="shared" si="12"/>
        <v>0</v>
      </c>
      <c r="AG16" s="113">
        <f t="shared" si="13"/>
        <v>0</v>
      </c>
      <c r="AH16" s="113">
        <f t="shared" si="14"/>
        <v>0</v>
      </c>
      <c r="AI16" s="131">
        <f t="shared" si="15"/>
        <v>55233.33</v>
      </c>
      <c r="AK16" s="114">
        <f t="shared" si="16"/>
        <v>662.8</v>
      </c>
      <c r="AL16" s="114">
        <f t="shared" si="19"/>
        <v>238.1</v>
      </c>
      <c r="AM16" s="115">
        <v>0.30199999999999999</v>
      </c>
      <c r="AN16" s="50"/>
      <c r="AO16" s="50"/>
      <c r="AP16" s="50"/>
      <c r="AQ16" s="50"/>
      <c r="AS16" s="99">
        <f t="shared" si="17"/>
        <v>12.7095</v>
      </c>
    </row>
    <row r="17" spans="1:45" x14ac:dyDescent="0.25">
      <c r="A17" s="284">
        <v>9</v>
      </c>
      <c r="B17" s="261" t="s">
        <v>40</v>
      </c>
      <c r="C17" s="259">
        <v>1</v>
      </c>
      <c r="D17" s="237">
        <v>11.061999999999999</v>
      </c>
      <c r="E17" s="111">
        <f t="shared" si="0"/>
        <v>11.06</v>
      </c>
      <c r="F17" s="95">
        <f t="shared" si="1"/>
        <v>132.69999999999999</v>
      </c>
      <c r="G17" s="95"/>
      <c r="H17" s="95">
        <f>5392.4/1000</f>
        <v>5.4</v>
      </c>
      <c r="I17" s="95"/>
      <c r="J17" s="95"/>
      <c r="K17" s="95"/>
      <c r="L17" s="95">
        <f t="shared" si="18"/>
        <v>36.1</v>
      </c>
      <c r="M17" s="95">
        <f t="shared" si="2"/>
        <v>174.2</v>
      </c>
      <c r="N17" s="111">
        <v>0.43</v>
      </c>
      <c r="O17" s="95">
        <f t="shared" si="3"/>
        <v>74.900000000000006</v>
      </c>
      <c r="P17" s="95">
        <f t="shared" si="4"/>
        <v>249.1</v>
      </c>
      <c r="Q17" s="95">
        <f t="shared" si="5"/>
        <v>199.3</v>
      </c>
      <c r="R17" s="95">
        <f t="shared" si="6"/>
        <v>199.3</v>
      </c>
      <c r="S17" s="95">
        <f t="shared" si="7"/>
        <v>20.7</v>
      </c>
      <c r="T17" s="95">
        <f t="shared" si="8"/>
        <v>668.4</v>
      </c>
      <c r="U17" s="1948"/>
      <c r="V17" s="95">
        <f t="shared" si="9"/>
        <v>668.4</v>
      </c>
      <c r="W17" s="95">
        <f t="shared" si="20"/>
        <v>201.9</v>
      </c>
      <c r="X17" s="284"/>
      <c r="Y17" s="112">
        <v>30</v>
      </c>
      <c r="Z17" s="113">
        <f t="shared" si="10"/>
        <v>0</v>
      </c>
      <c r="AA17" s="127"/>
      <c r="AB17" s="112">
        <v>15</v>
      </c>
      <c r="AC17" s="113">
        <f t="shared" si="11"/>
        <v>0</v>
      </c>
      <c r="AD17" s="127"/>
      <c r="AE17" s="112">
        <v>30</v>
      </c>
      <c r="AF17" s="113">
        <f t="shared" si="12"/>
        <v>0</v>
      </c>
      <c r="AG17" s="113">
        <f t="shared" si="13"/>
        <v>0</v>
      </c>
      <c r="AH17" s="113">
        <f t="shared" si="14"/>
        <v>0</v>
      </c>
      <c r="AI17" s="131">
        <f t="shared" si="15"/>
        <v>55700</v>
      </c>
      <c r="AK17" s="114">
        <f t="shared" si="16"/>
        <v>668.4</v>
      </c>
      <c r="AL17" s="114">
        <f t="shared" si="19"/>
        <v>239.1</v>
      </c>
      <c r="AM17" s="115">
        <v>0.30199999999999999</v>
      </c>
      <c r="AN17" s="50"/>
      <c r="AO17" s="50"/>
      <c r="AP17" s="50"/>
      <c r="AQ17" s="50"/>
      <c r="AS17" s="99">
        <f t="shared" si="17"/>
        <v>16.593</v>
      </c>
    </row>
    <row r="18" spans="1:45" x14ac:dyDescent="0.25">
      <c r="A18" s="284">
        <v>10</v>
      </c>
      <c r="B18" s="261" t="s">
        <v>29</v>
      </c>
      <c r="C18" s="259">
        <v>2</v>
      </c>
      <c r="D18" s="237">
        <v>8.4730000000000008</v>
      </c>
      <c r="E18" s="111">
        <f t="shared" si="0"/>
        <v>16.95</v>
      </c>
      <c r="F18" s="95">
        <f t="shared" si="1"/>
        <v>203.4</v>
      </c>
      <c r="G18" s="95"/>
      <c r="H18" s="95">
        <f>2065.2/1000</f>
        <v>2.1</v>
      </c>
      <c r="I18" s="95"/>
      <c r="J18" s="95"/>
      <c r="K18" s="95">
        <f>(D18*0.25+D18*0.3)*12</f>
        <v>55.9</v>
      </c>
      <c r="L18" s="95">
        <f t="shared" si="18"/>
        <v>55.3</v>
      </c>
      <c r="M18" s="95">
        <f t="shared" si="2"/>
        <v>316.7</v>
      </c>
      <c r="N18" s="111">
        <v>0.41</v>
      </c>
      <c r="O18" s="95">
        <f t="shared" si="3"/>
        <v>129.80000000000001</v>
      </c>
      <c r="P18" s="95">
        <f t="shared" si="4"/>
        <v>446.5</v>
      </c>
      <c r="Q18" s="95">
        <f t="shared" si="5"/>
        <v>357.2</v>
      </c>
      <c r="R18" s="95">
        <f t="shared" si="6"/>
        <v>357.2</v>
      </c>
      <c r="S18" s="95">
        <f t="shared" si="7"/>
        <v>37.1</v>
      </c>
      <c r="T18" s="95">
        <f t="shared" si="8"/>
        <v>1198</v>
      </c>
      <c r="U18" s="1948"/>
      <c r="V18" s="95">
        <f t="shared" si="9"/>
        <v>1198</v>
      </c>
      <c r="W18" s="95">
        <f t="shared" si="20"/>
        <v>361.8</v>
      </c>
      <c r="X18" s="284"/>
      <c r="Y18" s="112">
        <v>30</v>
      </c>
      <c r="Z18" s="113">
        <f t="shared" si="10"/>
        <v>0</v>
      </c>
      <c r="AA18" s="127"/>
      <c r="AB18" s="112">
        <v>15</v>
      </c>
      <c r="AC18" s="113">
        <f t="shared" si="11"/>
        <v>0</v>
      </c>
      <c r="AD18" s="127"/>
      <c r="AE18" s="112">
        <v>30</v>
      </c>
      <c r="AF18" s="113">
        <f t="shared" si="12"/>
        <v>0</v>
      </c>
      <c r="AG18" s="113">
        <f t="shared" si="13"/>
        <v>0</v>
      </c>
      <c r="AH18" s="113">
        <f t="shared" si="14"/>
        <v>0</v>
      </c>
      <c r="AI18" s="131">
        <f t="shared" si="15"/>
        <v>49916.67</v>
      </c>
      <c r="AK18" s="114">
        <f t="shared" si="16"/>
        <v>599</v>
      </c>
      <c r="AL18" s="114">
        <f t="shared" si="19"/>
        <v>226.5</v>
      </c>
      <c r="AM18" s="115">
        <v>0.30199999999999999</v>
      </c>
      <c r="AN18" s="263"/>
      <c r="AO18" s="263"/>
      <c r="AP18" s="263"/>
      <c r="AS18" s="99">
        <f t="shared" si="17"/>
        <v>12.7095</v>
      </c>
    </row>
    <row r="19" spans="1:45" x14ac:dyDescent="0.25">
      <c r="A19" s="284">
        <v>11</v>
      </c>
      <c r="B19" s="261" t="s">
        <v>58</v>
      </c>
      <c r="C19" s="259">
        <v>1</v>
      </c>
      <c r="D19" s="237">
        <v>11.061999999999999</v>
      </c>
      <c r="E19" s="111">
        <f t="shared" si="0"/>
        <v>11.06</v>
      </c>
      <c r="F19" s="95">
        <f t="shared" si="1"/>
        <v>132.69999999999999</v>
      </c>
      <c r="G19" s="95"/>
      <c r="H19" s="95">
        <f>5392.4/1000</f>
        <v>5.4</v>
      </c>
      <c r="I19" s="95"/>
      <c r="J19" s="95"/>
      <c r="K19" s="95">
        <f>F19*0.4</f>
        <v>53.1</v>
      </c>
      <c r="L19" s="95">
        <f t="shared" si="18"/>
        <v>36.1</v>
      </c>
      <c r="M19" s="95">
        <f t="shared" si="2"/>
        <v>227.3</v>
      </c>
      <c r="N19" s="111">
        <v>0.43</v>
      </c>
      <c r="O19" s="95">
        <f t="shared" si="3"/>
        <v>97.7</v>
      </c>
      <c r="P19" s="95">
        <f t="shared" si="4"/>
        <v>325</v>
      </c>
      <c r="Q19" s="95">
        <f t="shared" si="5"/>
        <v>260</v>
      </c>
      <c r="R19" s="95">
        <f t="shared" si="6"/>
        <v>260</v>
      </c>
      <c r="S19" s="95">
        <f t="shared" si="7"/>
        <v>27</v>
      </c>
      <c r="T19" s="95">
        <f t="shared" si="8"/>
        <v>872</v>
      </c>
      <c r="U19" s="1948"/>
      <c r="V19" s="95">
        <f t="shared" si="9"/>
        <v>872</v>
      </c>
      <c r="W19" s="95">
        <f t="shared" si="20"/>
        <v>263.3</v>
      </c>
      <c r="X19" s="284"/>
      <c r="Y19" s="112">
        <v>30</v>
      </c>
      <c r="Z19" s="113">
        <f t="shared" si="10"/>
        <v>0</v>
      </c>
      <c r="AA19" s="127"/>
      <c r="AB19" s="112">
        <v>15</v>
      </c>
      <c r="AC19" s="113">
        <f t="shared" si="11"/>
        <v>0</v>
      </c>
      <c r="AD19" s="127"/>
      <c r="AE19" s="112">
        <v>30</v>
      </c>
      <c r="AF19" s="113">
        <f t="shared" si="12"/>
        <v>0</v>
      </c>
      <c r="AG19" s="113">
        <f t="shared" si="13"/>
        <v>0</v>
      </c>
      <c r="AH19" s="113">
        <f t="shared" si="14"/>
        <v>0</v>
      </c>
      <c r="AI19" s="131">
        <f t="shared" si="15"/>
        <v>72666.67</v>
      </c>
      <c r="AK19" s="114">
        <f t="shared" si="16"/>
        <v>872</v>
      </c>
      <c r="AL19" s="114">
        <f t="shared" si="19"/>
        <v>276.2</v>
      </c>
      <c r="AM19" s="115">
        <v>0.30199999999999999</v>
      </c>
      <c r="AN19" s="50"/>
      <c r="AO19" s="50"/>
      <c r="AP19" s="50"/>
      <c r="AQ19" s="50"/>
      <c r="AS19" s="99">
        <f t="shared" si="17"/>
        <v>16.593</v>
      </c>
    </row>
    <row r="20" spans="1:45" x14ac:dyDescent="0.25">
      <c r="A20" s="284">
        <v>12</v>
      </c>
      <c r="B20" s="236" t="s">
        <v>42</v>
      </c>
      <c r="C20" s="259">
        <v>1</v>
      </c>
      <c r="D20" s="237">
        <v>11.061999999999999</v>
      </c>
      <c r="E20" s="111">
        <f t="shared" si="0"/>
        <v>11.06</v>
      </c>
      <c r="F20" s="95">
        <f t="shared" si="1"/>
        <v>132.69999999999999</v>
      </c>
      <c r="G20" s="95"/>
      <c r="H20" s="95">
        <v>7.8</v>
      </c>
      <c r="I20" s="95"/>
      <c r="J20" s="95"/>
      <c r="K20" s="95">
        <f>F20*0.2</f>
        <v>26.5</v>
      </c>
      <c r="L20" s="95">
        <f t="shared" si="18"/>
        <v>36.1</v>
      </c>
      <c r="M20" s="95">
        <f t="shared" si="2"/>
        <v>203.1</v>
      </c>
      <c r="N20" s="111">
        <v>0.43</v>
      </c>
      <c r="O20" s="95">
        <f t="shared" si="3"/>
        <v>87.3</v>
      </c>
      <c r="P20" s="95">
        <f t="shared" si="4"/>
        <v>290.39999999999998</v>
      </c>
      <c r="Q20" s="95">
        <f t="shared" si="5"/>
        <v>232.3</v>
      </c>
      <c r="R20" s="95">
        <f t="shared" si="6"/>
        <v>232.3</v>
      </c>
      <c r="S20" s="95">
        <f t="shared" si="7"/>
        <v>24.2</v>
      </c>
      <c r="T20" s="95">
        <f t="shared" si="8"/>
        <v>779.2</v>
      </c>
      <c r="U20" s="1948"/>
      <c r="V20" s="95">
        <f t="shared" si="9"/>
        <v>779.2</v>
      </c>
      <c r="W20" s="95">
        <f t="shared" si="20"/>
        <v>235.3</v>
      </c>
      <c r="X20" s="284"/>
      <c r="Y20" s="112">
        <v>30</v>
      </c>
      <c r="Z20" s="113">
        <f t="shared" si="10"/>
        <v>0</v>
      </c>
      <c r="AA20" s="127"/>
      <c r="AB20" s="112">
        <v>15</v>
      </c>
      <c r="AC20" s="113">
        <f t="shared" si="11"/>
        <v>0</v>
      </c>
      <c r="AD20" s="127"/>
      <c r="AE20" s="112">
        <v>30</v>
      </c>
      <c r="AF20" s="113">
        <f t="shared" si="12"/>
        <v>0</v>
      </c>
      <c r="AG20" s="113">
        <f t="shared" si="13"/>
        <v>0</v>
      </c>
      <c r="AH20" s="113">
        <f t="shared" si="14"/>
        <v>0</v>
      </c>
      <c r="AI20" s="131">
        <f t="shared" si="15"/>
        <v>64933.33</v>
      </c>
      <c r="AK20" s="114">
        <f t="shared" si="16"/>
        <v>779.2</v>
      </c>
      <c r="AL20" s="114">
        <f t="shared" si="19"/>
        <v>259.3</v>
      </c>
      <c r="AM20" s="115">
        <v>0.30199999999999999</v>
      </c>
      <c r="AN20" s="50"/>
      <c r="AO20" s="50"/>
      <c r="AP20" s="50"/>
      <c r="AQ20" s="50"/>
      <c r="AS20" s="99">
        <f t="shared" si="17"/>
        <v>16.593</v>
      </c>
    </row>
    <row r="21" spans="1:45" s="22" customFormat="1" ht="26.4" x14ac:dyDescent="0.25">
      <c r="A21" s="284">
        <v>13</v>
      </c>
      <c r="B21" s="52" t="s">
        <v>132</v>
      </c>
      <c r="C21" s="167">
        <v>1</v>
      </c>
      <c r="D21" s="177">
        <v>8.4730000000000008</v>
      </c>
      <c r="E21" s="171">
        <f t="shared" si="0"/>
        <v>8.4700000000000006</v>
      </c>
      <c r="F21" s="154">
        <f>E21*12</f>
        <v>101.6</v>
      </c>
      <c r="G21" s="154"/>
      <c r="H21" s="154">
        <f>4130.4/1000</f>
        <v>4.0999999999999996</v>
      </c>
      <c r="I21" s="154"/>
      <c r="J21" s="154"/>
      <c r="K21" s="154"/>
      <c r="L21" s="154">
        <f t="shared" si="18"/>
        <v>27.6</v>
      </c>
      <c r="M21" s="154">
        <f t="shared" si="2"/>
        <v>133.30000000000001</v>
      </c>
      <c r="N21" s="171">
        <v>0.47</v>
      </c>
      <c r="O21" s="154">
        <f t="shared" si="3"/>
        <v>62.7</v>
      </c>
      <c r="P21" s="154">
        <f t="shared" si="4"/>
        <v>196</v>
      </c>
      <c r="Q21" s="154">
        <f t="shared" si="5"/>
        <v>156.80000000000001</v>
      </c>
      <c r="R21" s="154">
        <f t="shared" si="6"/>
        <v>156.80000000000001</v>
      </c>
      <c r="S21" s="154">
        <f t="shared" si="7"/>
        <v>16.3</v>
      </c>
      <c r="T21" s="154">
        <f t="shared" si="8"/>
        <v>525.9</v>
      </c>
      <c r="U21" s="1948"/>
      <c r="V21" s="154">
        <f>T21*$U$9</f>
        <v>525.9</v>
      </c>
      <c r="W21" s="95">
        <f t="shared" si="20"/>
        <v>158.80000000000001</v>
      </c>
      <c r="X21" s="278"/>
      <c r="Y21" s="24">
        <v>30</v>
      </c>
      <c r="Z21" s="48">
        <f t="shared" si="10"/>
        <v>0</v>
      </c>
      <c r="AA21" s="54"/>
      <c r="AB21" s="24">
        <v>15</v>
      </c>
      <c r="AC21" s="48">
        <f t="shared" si="11"/>
        <v>0</v>
      </c>
      <c r="AD21" s="54"/>
      <c r="AE21" s="24">
        <v>30</v>
      </c>
      <c r="AF21" s="48">
        <f t="shared" si="12"/>
        <v>0</v>
      </c>
      <c r="AG21" s="48">
        <f t="shared" si="13"/>
        <v>0</v>
      </c>
      <c r="AH21" s="48">
        <f t="shared" si="14"/>
        <v>0</v>
      </c>
      <c r="AI21" s="39">
        <f t="shared" si="15"/>
        <v>43825</v>
      </c>
      <c r="AK21" s="34">
        <f t="shared" si="16"/>
        <v>525.9</v>
      </c>
      <c r="AL21" s="34">
        <f t="shared" si="19"/>
        <v>213.2</v>
      </c>
      <c r="AM21" s="51">
        <v>0.30199999999999999</v>
      </c>
      <c r="AN21" s="211"/>
      <c r="AO21" s="211"/>
      <c r="AP21" s="211"/>
      <c r="AQ21" s="211"/>
      <c r="AS21" s="22">
        <f t="shared" si="17"/>
        <v>12.7095</v>
      </c>
    </row>
    <row r="22" spans="1:45" x14ac:dyDescent="0.25">
      <c r="A22" s="284">
        <v>14</v>
      </c>
      <c r="B22" s="261" t="s">
        <v>44</v>
      </c>
      <c r="C22" s="259">
        <v>1</v>
      </c>
      <c r="D22" s="237">
        <v>11.061999999999999</v>
      </c>
      <c r="E22" s="111">
        <f t="shared" si="0"/>
        <v>11.06</v>
      </c>
      <c r="F22" s="95">
        <f t="shared" si="1"/>
        <v>132.69999999999999</v>
      </c>
      <c r="G22" s="95"/>
      <c r="H22" s="95">
        <v>7</v>
      </c>
      <c r="I22" s="95"/>
      <c r="J22" s="95"/>
      <c r="K22" s="95">
        <f>F22*0.4</f>
        <v>53.1</v>
      </c>
      <c r="L22" s="95">
        <f t="shared" si="18"/>
        <v>36.1</v>
      </c>
      <c r="M22" s="95">
        <f t="shared" si="2"/>
        <v>228.9</v>
      </c>
      <c r="N22" s="111">
        <v>0.43</v>
      </c>
      <c r="O22" s="95">
        <f t="shared" si="3"/>
        <v>98.4</v>
      </c>
      <c r="P22" s="95">
        <f t="shared" si="4"/>
        <v>327.3</v>
      </c>
      <c r="Q22" s="95">
        <f t="shared" si="5"/>
        <v>261.8</v>
      </c>
      <c r="R22" s="95">
        <f t="shared" si="6"/>
        <v>261.8</v>
      </c>
      <c r="S22" s="95">
        <f t="shared" si="7"/>
        <v>27.2</v>
      </c>
      <c r="T22" s="95">
        <f t="shared" si="8"/>
        <v>878.1</v>
      </c>
      <c r="U22" s="1948"/>
      <c r="V22" s="95">
        <f t="shared" si="9"/>
        <v>878.1</v>
      </c>
      <c r="W22" s="95">
        <f t="shared" si="20"/>
        <v>265.2</v>
      </c>
      <c r="X22" s="284">
        <v>1</v>
      </c>
      <c r="Y22" s="112">
        <v>30</v>
      </c>
      <c r="Z22" s="113">
        <f t="shared" si="10"/>
        <v>30</v>
      </c>
      <c r="AA22" s="127">
        <v>1</v>
      </c>
      <c r="AB22" s="112">
        <v>15</v>
      </c>
      <c r="AC22" s="113">
        <f t="shared" si="11"/>
        <v>15</v>
      </c>
      <c r="AD22" s="127"/>
      <c r="AE22" s="112">
        <v>30</v>
      </c>
      <c r="AF22" s="113">
        <f t="shared" si="12"/>
        <v>0</v>
      </c>
      <c r="AG22" s="113">
        <f t="shared" si="13"/>
        <v>13.5</v>
      </c>
      <c r="AH22" s="113">
        <f t="shared" si="14"/>
        <v>58.5</v>
      </c>
      <c r="AI22" s="131">
        <f t="shared" si="15"/>
        <v>73175</v>
      </c>
      <c r="AK22" s="114">
        <f t="shared" si="16"/>
        <v>878.1</v>
      </c>
      <c r="AL22" s="114">
        <f t="shared" si="19"/>
        <v>277.3</v>
      </c>
      <c r="AM22" s="115">
        <v>0.30199999999999999</v>
      </c>
      <c r="AN22" s="50"/>
      <c r="AO22" s="50"/>
      <c r="AP22" s="50"/>
      <c r="AQ22" s="50"/>
      <c r="AS22" s="99">
        <f t="shared" si="17"/>
        <v>16.593</v>
      </c>
    </row>
    <row r="23" spans="1:45" x14ac:dyDescent="0.25">
      <c r="A23" s="284">
        <v>15</v>
      </c>
      <c r="B23" s="236" t="s">
        <v>33</v>
      </c>
      <c r="C23" s="174">
        <v>1</v>
      </c>
      <c r="D23" s="237">
        <v>8.4730000000000008</v>
      </c>
      <c r="E23" s="111">
        <f t="shared" si="0"/>
        <v>8.4700000000000006</v>
      </c>
      <c r="F23" s="95">
        <f t="shared" si="1"/>
        <v>101.6</v>
      </c>
      <c r="G23" s="95">
        <f>4015.6/1000</f>
        <v>4</v>
      </c>
      <c r="H23" s="95">
        <f>5782.5/1000</f>
        <v>5.8</v>
      </c>
      <c r="I23" s="95"/>
      <c r="J23" s="95"/>
      <c r="K23" s="95">
        <f>D23*0.2*7.6+D23*0.25*4.4</f>
        <v>22.2</v>
      </c>
      <c r="L23" s="95">
        <f t="shared" si="18"/>
        <v>27.6</v>
      </c>
      <c r="M23" s="95">
        <f t="shared" si="2"/>
        <v>161.19999999999999</v>
      </c>
      <c r="N23" s="111">
        <v>0.41</v>
      </c>
      <c r="O23" s="95">
        <f t="shared" si="3"/>
        <v>66.099999999999994</v>
      </c>
      <c r="P23" s="95">
        <f t="shared" si="4"/>
        <v>227.3</v>
      </c>
      <c r="Q23" s="95">
        <f t="shared" si="5"/>
        <v>181.8</v>
      </c>
      <c r="R23" s="95">
        <f t="shared" si="6"/>
        <v>181.8</v>
      </c>
      <c r="S23" s="95">
        <f t="shared" si="7"/>
        <v>18.899999999999999</v>
      </c>
      <c r="T23" s="95">
        <f t="shared" si="8"/>
        <v>609.79999999999995</v>
      </c>
      <c r="U23" s="1948"/>
      <c r="V23" s="95">
        <f t="shared" si="9"/>
        <v>609.79999999999995</v>
      </c>
      <c r="W23" s="95">
        <f t="shared" si="20"/>
        <v>184.2</v>
      </c>
      <c r="X23" s="238">
        <v>1</v>
      </c>
      <c r="Y23" s="240">
        <v>30</v>
      </c>
      <c r="Z23" s="241">
        <f t="shared" si="10"/>
        <v>30</v>
      </c>
      <c r="AA23" s="238"/>
      <c r="AB23" s="240">
        <v>15</v>
      </c>
      <c r="AC23" s="241">
        <f t="shared" si="11"/>
        <v>0</v>
      </c>
      <c r="AD23" s="238">
        <v>1</v>
      </c>
      <c r="AE23" s="240">
        <v>30</v>
      </c>
      <c r="AF23" s="241">
        <f t="shared" si="12"/>
        <v>30</v>
      </c>
      <c r="AG23" s="241">
        <f t="shared" si="13"/>
        <v>18</v>
      </c>
      <c r="AH23" s="241">
        <f t="shared" si="14"/>
        <v>78</v>
      </c>
      <c r="AI23" s="131">
        <f t="shared" si="15"/>
        <v>50816.67</v>
      </c>
      <c r="AK23" s="114">
        <f t="shared" si="16"/>
        <v>609.79999999999995</v>
      </c>
      <c r="AL23" s="114">
        <f t="shared" si="19"/>
        <v>228.5</v>
      </c>
      <c r="AM23" s="115">
        <v>0.30199999999999999</v>
      </c>
      <c r="AN23" s="263"/>
      <c r="AO23" s="263"/>
      <c r="AP23" s="263"/>
      <c r="AS23" s="99">
        <f t="shared" si="17"/>
        <v>12.7095</v>
      </c>
    </row>
    <row r="24" spans="1:45" x14ac:dyDescent="0.25">
      <c r="A24" s="284">
        <v>16</v>
      </c>
      <c r="B24" s="236" t="s">
        <v>102</v>
      </c>
      <c r="C24" s="174">
        <v>0.5</v>
      </c>
      <c r="D24" s="237">
        <v>4.3769999999999998</v>
      </c>
      <c r="E24" s="111">
        <f t="shared" si="0"/>
        <v>2.19</v>
      </c>
      <c r="F24" s="95">
        <f t="shared" si="1"/>
        <v>26.3</v>
      </c>
      <c r="G24" s="95"/>
      <c r="H24" s="95"/>
      <c r="I24" s="95"/>
      <c r="J24" s="95"/>
      <c r="K24" s="95"/>
      <c r="L24" s="95">
        <f t="shared" si="18"/>
        <v>7.2</v>
      </c>
      <c r="M24" s="95">
        <f t="shared" si="2"/>
        <v>33.5</v>
      </c>
      <c r="N24" s="111">
        <v>0.49</v>
      </c>
      <c r="O24" s="95">
        <f t="shared" si="3"/>
        <v>16.399999999999999</v>
      </c>
      <c r="P24" s="95">
        <f t="shared" si="4"/>
        <v>49.9</v>
      </c>
      <c r="Q24" s="95">
        <f t="shared" si="5"/>
        <v>39.9</v>
      </c>
      <c r="R24" s="95">
        <f t="shared" si="6"/>
        <v>39.9</v>
      </c>
      <c r="S24" s="95">
        <f t="shared" si="7"/>
        <v>4.2</v>
      </c>
      <c r="T24" s="95">
        <f t="shared" si="8"/>
        <v>133.9</v>
      </c>
      <c r="U24" s="1948"/>
      <c r="V24" s="95">
        <f t="shared" si="9"/>
        <v>133.9</v>
      </c>
      <c r="W24" s="95">
        <f t="shared" si="20"/>
        <v>40.4</v>
      </c>
      <c r="X24" s="238"/>
      <c r="Y24" s="240"/>
      <c r="Z24" s="241"/>
      <c r="AA24" s="238"/>
      <c r="AB24" s="240"/>
      <c r="AC24" s="241"/>
      <c r="AD24" s="238"/>
      <c r="AE24" s="240"/>
      <c r="AF24" s="241"/>
      <c r="AG24" s="241"/>
      <c r="AH24" s="241"/>
      <c r="AI24" s="131"/>
      <c r="AK24" s="114"/>
      <c r="AL24" s="114"/>
      <c r="AM24" s="115"/>
      <c r="AN24" s="263"/>
      <c r="AO24" s="263"/>
      <c r="AP24" s="263"/>
      <c r="AS24" s="99">
        <f t="shared" si="17"/>
        <v>6.5655000000000001</v>
      </c>
    </row>
    <row r="25" spans="1:45" x14ac:dyDescent="0.25">
      <c r="A25" s="284">
        <v>17</v>
      </c>
      <c r="B25" s="236" t="s">
        <v>136</v>
      </c>
      <c r="C25" s="174">
        <v>0.5</v>
      </c>
      <c r="D25" s="237">
        <v>4.3769999999999998</v>
      </c>
      <c r="E25" s="111">
        <f t="shared" si="0"/>
        <v>2.19</v>
      </c>
      <c r="F25" s="95">
        <f t="shared" si="1"/>
        <v>26.3</v>
      </c>
      <c r="G25" s="95"/>
      <c r="H25" s="95"/>
      <c r="I25" s="95"/>
      <c r="J25" s="95"/>
      <c r="K25" s="95"/>
      <c r="L25" s="95">
        <f t="shared" si="18"/>
        <v>7.2</v>
      </c>
      <c r="M25" s="95">
        <f t="shared" si="2"/>
        <v>33.5</v>
      </c>
      <c r="N25" s="111">
        <v>0.49</v>
      </c>
      <c r="O25" s="95">
        <f t="shared" si="3"/>
        <v>16.399999999999999</v>
      </c>
      <c r="P25" s="95">
        <f t="shared" si="4"/>
        <v>49.9</v>
      </c>
      <c r="Q25" s="95">
        <f t="shared" si="5"/>
        <v>39.9</v>
      </c>
      <c r="R25" s="95">
        <f t="shared" si="6"/>
        <v>39.9</v>
      </c>
      <c r="S25" s="95">
        <f t="shared" si="7"/>
        <v>4.2</v>
      </c>
      <c r="T25" s="95">
        <f t="shared" si="8"/>
        <v>133.9</v>
      </c>
      <c r="U25" s="1948"/>
      <c r="V25" s="95">
        <f t="shared" si="9"/>
        <v>133.9</v>
      </c>
      <c r="W25" s="95">
        <f t="shared" si="20"/>
        <v>40.4</v>
      </c>
      <c r="X25" s="238"/>
      <c r="Y25" s="240"/>
      <c r="Z25" s="241"/>
      <c r="AA25" s="238"/>
      <c r="AB25" s="240"/>
      <c r="AC25" s="241"/>
      <c r="AD25" s="238"/>
      <c r="AE25" s="240"/>
      <c r="AF25" s="241"/>
      <c r="AG25" s="241"/>
      <c r="AH25" s="241"/>
      <c r="AI25" s="131"/>
      <c r="AK25" s="114"/>
      <c r="AL25" s="114"/>
      <c r="AM25" s="115"/>
      <c r="AN25" s="263"/>
      <c r="AO25" s="263"/>
      <c r="AP25" s="263"/>
      <c r="AS25" s="99">
        <f t="shared" si="17"/>
        <v>6.5655000000000001</v>
      </c>
    </row>
    <row r="26" spans="1:45" s="245" customFormat="1" x14ac:dyDescent="0.25">
      <c r="A26" s="284">
        <v>18</v>
      </c>
      <c r="B26" s="236" t="s">
        <v>60</v>
      </c>
      <c r="C26" s="262">
        <v>2</v>
      </c>
      <c r="D26" s="247">
        <v>4.3769999999999998</v>
      </c>
      <c r="E26" s="249">
        <f t="shared" si="0"/>
        <v>8.75</v>
      </c>
      <c r="F26" s="248">
        <f t="shared" si="1"/>
        <v>105</v>
      </c>
      <c r="G26" s="248">
        <f>12446.4/1000</f>
        <v>12.4</v>
      </c>
      <c r="H26" s="248">
        <f>5974.3/1000</f>
        <v>6</v>
      </c>
      <c r="I26" s="248"/>
      <c r="J26" s="248"/>
      <c r="K26" s="248"/>
      <c r="L26" s="95">
        <v>59</v>
      </c>
      <c r="M26" s="248">
        <f t="shared" si="2"/>
        <v>182.4</v>
      </c>
      <c r="N26" s="111">
        <v>0.49</v>
      </c>
      <c r="O26" s="248">
        <f t="shared" si="3"/>
        <v>89.4</v>
      </c>
      <c r="P26" s="248">
        <f t="shared" si="4"/>
        <v>271.8</v>
      </c>
      <c r="Q26" s="248">
        <f t="shared" si="5"/>
        <v>217.4</v>
      </c>
      <c r="R26" s="248">
        <f t="shared" si="6"/>
        <v>217.4</v>
      </c>
      <c r="S26" s="248">
        <f t="shared" si="7"/>
        <v>22.6</v>
      </c>
      <c r="T26" s="248">
        <f t="shared" si="8"/>
        <v>729.2</v>
      </c>
      <c r="U26" s="1948"/>
      <c r="V26" s="248">
        <f t="shared" si="9"/>
        <v>729.2</v>
      </c>
      <c r="W26" s="95">
        <f t="shared" si="20"/>
        <v>220.2</v>
      </c>
      <c r="X26" s="246">
        <v>1</v>
      </c>
      <c r="Y26" s="240">
        <v>30</v>
      </c>
      <c r="Z26" s="241">
        <f t="shared" si="10"/>
        <v>30</v>
      </c>
      <c r="AA26" s="246"/>
      <c r="AB26" s="240">
        <v>15</v>
      </c>
      <c r="AC26" s="241">
        <f t="shared" si="11"/>
        <v>0</v>
      </c>
      <c r="AD26" s="246"/>
      <c r="AE26" s="240">
        <v>30</v>
      </c>
      <c r="AF26" s="241">
        <f t="shared" si="12"/>
        <v>0</v>
      </c>
      <c r="AG26" s="241">
        <f t="shared" si="13"/>
        <v>9</v>
      </c>
      <c r="AH26" s="241">
        <f t="shared" si="14"/>
        <v>39</v>
      </c>
      <c r="AI26" s="131">
        <f>V26/12/C26*1000</f>
        <v>30383.33</v>
      </c>
      <c r="AK26" s="114">
        <f>V26/C26</f>
        <v>364.6</v>
      </c>
      <c r="AL26" s="114">
        <f t="shared" si="19"/>
        <v>183.8</v>
      </c>
      <c r="AM26" s="115">
        <v>0.30199999999999999</v>
      </c>
      <c r="AN26" s="211"/>
      <c r="AO26" s="211"/>
      <c r="AP26" s="211"/>
      <c r="AQ26" s="211"/>
      <c r="AS26" s="99">
        <f t="shared" si="17"/>
        <v>6.5655000000000001</v>
      </c>
    </row>
    <row r="27" spans="1:45" x14ac:dyDescent="0.25">
      <c r="A27" s="284">
        <v>19</v>
      </c>
      <c r="B27" s="261" t="s">
        <v>94</v>
      </c>
      <c r="C27" s="264">
        <v>2</v>
      </c>
      <c r="D27" s="237">
        <v>4.3769999999999998</v>
      </c>
      <c r="E27" s="111">
        <f t="shared" si="0"/>
        <v>8.75</v>
      </c>
      <c r="F27" s="95">
        <f t="shared" si="1"/>
        <v>105</v>
      </c>
      <c r="G27" s="95">
        <f>2074.4/1000</f>
        <v>2.1</v>
      </c>
      <c r="H27" s="95">
        <f>5.974</f>
        <v>6</v>
      </c>
      <c r="I27" s="95"/>
      <c r="J27" s="95"/>
      <c r="K27" s="95"/>
      <c r="L27" s="95">
        <v>70.8</v>
      </c>
      <c r="M27" s="95">
        <f t="shared" si="2"/>
        <v>183.9</v>
      </c>
      <c r="N27" s="111">
        <v>0.47</v>
      </c>
      <c r="O27" s="95">
        <f t="shared" si="3"/>
        <v>86.4</v>
      </c>
      <c r="P27" s="95">
        <f t="shared" si="4"/>
        <v>270.3</v>
      </c>
      <c r="Q27" s="95">
        <f t="shared" si="5"/>
        <v>216.2</v>
      </c>
      <c r="R27" s="95">
        <f t="shared" si="6"/>
        <v>216.2</v>
      </c>
      <c r="S27" s="95">
        <f t="shared" si="7"/>
        <v>22.5</v>
      </c>
      <c r="T27" s="95">
        <f t="shared" si="8"/>
        <v>725.2</v>
      </c>
      <c r="U27" s="1948"/>
      <c r="V27" s="95">
        <f>T27*$U$9+0.1</f>
        <v>725.3</v>
      </c>
      <c r="W27" s="95">
        <f t="shared" si="20"/>
        <v>219</v>
      </c>
      <c r="X27" s="284">
        <v>1</v>
      </c>
      <c r="Y27" s="112">
        <v>30</v>
      </c>
      <c r="Z27" s="113">
        <f t="shared" si="10"/>
        <v>30</v>
      </c>
      <c r="AA27" s="284"/>
      <c r="AB27" s="112">
        <v>15</v>
      </c>
      <c r="AC27" s="113">
        <f t="shared" si="11"/>
        <v>0</v>
      </c>
      <c r="AD27" s="284"/>
      <c r="AE27" s="112">
        <v>30</v>
      </c>
      <c r="AF27" s="113">
        <f t="shared" si="12"/>
        <v>0</v>
      </c>
      <c r="AG27" s="113">
        <f t="shared" si="13"/>
        <v>9</v>
      </c>
      <c r="AH27" s="113">
        <f t="shared" si="14"/>
        <v>39</v>
      </c>
      <c r="AI27" s="131">
        <f>V27/12/C27*1000</f>
        <v>30220.83</v>
      </c>
      <c r="AK27" s="114">
        <f>V27/C27</f>
        <v>362.7</v>
      </c>
      <c r="AL27" s="114">
        <f t="shared" si="19"/>
        <v>183.5</v>
      </c>
      <c r="AM27" s="115">
        <v>0.30199999999999999</v>
      </c>
      <c r="AS27" s="99">
        <f t="shared" si="17"/>
        <v>6.5655000000000001</v>
      </c>
    </row>
    <row r="28" spans="1:45" s="98" customFormat="1" ht="20.25" customHeight="1" x14ac:dyDescent="0.25">
      <c r="A28" s="1950" t="s">
        <v>8</v>
      </c>
      <c r="B28" s="1950"/>
      <c r="C28" s="265">
        <f>SUM(C9:C27)</f>
        <v>25</v>
      </c>
      <c r="D28" s="266">
        <f t="shared" ref="D28:T28" si="21">SUM(D9:D27)</f>
        <v>187.6</v>
      </c>
      <c r="E28" s="266">
        <f t="shared" si="21"/>
        <v>251.7</v>
      </c>
      <c r="F28" s="266">
        <f t="shared" si="21"/>
        <v>3020.1</v>
      </c>
      <c r="G28" s="266">
        <f t="shared" si="21"/>
        <v>18.5</v>
      </c>
      <c r="H28" s="266">
        <f t="shared" si="21"/>
        <v>110.7</v>
      </c>
      <c r="I28" s="266">
        <f t="shared" si="21"/>
        <v>0</v>
      </c>
      <c r="J28" s="266">
        <f t="shared" si="21"/>
        <v>0</v>
      </c>
      <c r="K28" s="266">
        <f t="shared" si="21"/>
        <v>703.9</v>
      </c>
      <c r="L28" s="266">
        <f t="shared" si="21"/>
        <v>894.2</v>
      </c>
      <c r="M28" s="266">
        <f t="shared" si="21"/>
        <v>4747.3999999999996</v>
      </c>
      <c r="N28" s="266">
        <f t="shared" si="21"/>
        <v>8.5</v>
      </c>
      <c r="O28" s="266">
        <f t="shared" si="21"/>
        <v>2108</v>
      </c>
      <c r="P28" s="266">
        <f t="shared" si="21"/>
        <v>6855.4</v>
      </c>
      <c r="Q28" s="266">
        <f t="shared" si="21"/>
        <v>5484.1</v>
      </c>
      <c r="R28" s="266">
        <f t="shared" si="21"/>
        <v>5484.1</v>
      </c>
      <c r="S28" s="266">
        <f t="shared" si="21"/>
        <v>570.29999999999995</v>
      </c>
      <c r="T28" s="266">
        <f t="shared" si="21"/>
        <v>18393.900000000001</v>
      </c>
      <c r="U28" s="266"/>
      <c r="V28" s="266">
        <f t="shared" ref="V28:AH28" si="22">SUM(V9:V27)</f>
        <v>18394</v>
      </c>
      <c r="W28" s="266">
        <f>SUM(W9:W27)</f>
        <v>5400.8</v>
      </c>
      <c r="X28" s="266">
        <f t="shared" si="22"/>
        <v>8</v>
      </c>
      <c r="Y28" s="266">
        <f t="shared" si="22"/>
        <v>510</v>
      </c>
      <c r="Z28" s="266">
        <f t="shared" si="22"/>
        <v>240</v>
      </c>
      <c r="AA28" s="266">
        <f t="shared" si="22"/>
        <v>1</v>
      </c>
      <c r="AB28" s="266">
        <f t="shared" si="22"/>
        <v>255</v>
      </c>
      <c r="AC28" s="266">
        <f t="shared" si="22"/>
        <v>15</v>
      </c>
      <c r="AD28" s="266">
        <f t="shared" si="22"/>
        <v>3</v>
      </c>
      <c r="AE28" s="266">
        <f t="shared" si="22"/>
        <v>510</v>
      </c>
      <c r="AF28" s="266">
        <f t="shared" si="22"/>
        <v>90</v>
      </c>
      <c r="AG28" s="266">
        <f t="shared" si="22"/>
        <v>103.5</v>
      </c>
      <c r="AH28" s="266">
        <f t="shared" si="22"/>
        <v>448.5</v>
      </c>
      <c r="AI28" s="131"/>
      <c r="AK28" s="114"/>
      <c r="AL28" s="114"/>
      <c r="AM28" s="115"/>
      <c r="AN28" s="211"/>
      <c r="AO28" s="211"/>
      <c r="AP28" s="211"/>
      <c r="AQ28" s="211"/>
      <c r="AS28" s="99"/>
    </row>
    <row r="29" spans="1:45" s="98" customFormat="1" ht="20.25" customHeight="1" x14ac:dyDescent="0.25">
      <c r="A29" s="267"/>
      <c r="B29" s="268"/>
      <c r="C29" s="269"/>
      <c r="D29" s="270"/>
      <c r="E29" s="270"/>
      <c r="F29" s="270"/>
      <c r="G29" s="270"/>
      <c r="H29" s="270"/>
      <c r="I29" s="270"/>
      <c r="J29" s="270"/>
      <c r="K29" s="270"/>
      <c r="L29" s="270"/>
      <c r="M29" s="270"/>
      <c r="N29" s="270"/>
      <c r="O29" s="270"/>
      <c r="P29" s="270"/>
      <c r="Q29" s="270"/>
      <c r="R29" s="270"/>
      <c r="S29" s="270"/>
      <c r="T29" s="270"/>
      <c r="U29" s="270"/>
      <c r="V29" s="270"/>
      <c r="W29" s="66"/>
      <c r="X29" s="270"/>
      <c r="Y29" s="270"/>
      <c r="Z29" s="270"/>
      <c r="AA29" s="270"/>
      <c r="AB29" s="270"/>
      <c r="AC29" s="270"/>
      <c r="AD29" s="270"/>
      <c r="AE29" s="270"/>
      <c r="AF29" s="270"/>
      <c r="AG29" s="270"/>
      <c r="AH29" s="270"/>
      <c r="AI29" s="131"/>
      <c r="AK29" s="114"/>
      <c r="AL29" s="114"/>
      <c r="AM29" s="115"/>
      <c r="AN29" s="211"/>
      <c r="AO29" s="211"/>
      <c r="AP29" s="211"/>
      <c r="AQ29" s="211"/>
    </row>
    <row r="30" spans="1:45" s="75" customFormat="1" x14ac:dyDescent="0.25">
      <c r="A30" s="70"/>
      <c r="B30" s="70"/>
      <c r="C30" s="71"/>
      <c r="D30" s="271"/>
      <c r="E30" s="72"/>
      <c r="F30" s="72"/>
      <c r="G30" s="72"/>
      <c r="H30" s="73"/>
      <c r="I30" s="73"/>
      <c r="J30" s="27"/>
      <c r="K30" s="27"/>
      <c r="L30" s="27"/>
      <c r="M30" s="27"/>
      <c r="N30" s="74"/>
      <c r="O30" s="27"/>
      <c r="P30" s="27"/>
      <c r="Q30" s="27"/>
      <c r="R30" s="27"/>
      <c r="S30" s="27"/>
      <c r="T30" s="27"/>
      <c r="U30" s="27"/>
      <c r="V30" s="27"/>
      <c r="W30" s="27"/>
      <c r="X30" s="27"/>
      <c r="Y30" s="27"/>
      <c r="Z30" s="27"/>
      <c r="AA30" s="27"/>
      <c r="AB30" s="27"/>
      <c r="AC30" s="27"/>
      <c r="AD30" s="27"/>
      <c r="AE30" s="27"/>
      <c r="AF30" s="27"/>
      <c r="AG30" s="27"/>
      <c r="AH30" s="27"/>
      <c r="AI30" s="27"/>
      <c r="AJ30" s="76"/>
      <c r="AN30" s="76"/>
      <c r="AO30" s="76"/>
      <c r="AP30" s="76"/>
      <c r="AQ30" s="76"/>
      <c r="AR30" s="76"/>
    </row>
    <row r="31" spans="1:45" s="75" customFormat="1" ht="58.5" customHeight="1" x14ac:dyDescent="0.25">
      <c r="A31" s="70"/>
      <c r="B31" s="70"/>
      <c r="C31" s="71"/>
      <c r="D31" s="77"/>
      <c r="E31" s="77"/>
      <c r="F31" s="27"/>
      <c r="G31" s="1545" t="s">
        <v>140</v>
      </c>
      <c r="H31" s="1545"/>
      <c r="I31" s="1545" t="s">
        <v>145</v>
      </c>
      <c r="J31" s="1545"/>
      <c r="K31" s="1545" t="s">
        <v>128</v>
      </c>
      <c r="L31" s="1545"/>
      <c r="Q31" s="27"/>
      <c r="R31" s="27"/>
      <c r="S31" s="27"/>
      <c r="T31" s="27"/>
      <c r="U31" s="27"/>
      <c r="V31" s="27"/>
      <c r="W31" s="27"/>
      <c r="X31" s="27"/>
      <c r="Y31" s="27"/>
      <c r="Z31" s="27"/>
      <c r="AA31" s="27"/>
      <c r="AB31" s="27"/>
      <c r="AC31" s="27"/>
      <c r="AD31" s="27"/>
      <c r="AE31" s="27"/>
      <c r="AF31" s="27"/>
      <c r="AG31" s="27"/>
      <c r="AH31" s="27"/>
      <c r="AI31" s="27"/>
      <c r="AJ31" s="76"/>
      <c r="AN31" s="76"/>
      <c r="AO31" s="76"/>
      <c r="AP31" s="76"/>
      <c r="AQ31" s="76"/>
      <c r="AR31" s="76"/>
    </row>
    <row r="32" spans="1:45" s="75" customFormat="1" x14ac:dyDescent="0.25">
      <c r="A32" s="70"/>
      <c r="B32" s="70"/>
      <c r="C32" s="71"/>
      <c r="D32" s="77"/>
      <c r="E32" s="77"/>
      <c r="F32" s="27"/>
      <c r="G32" s="279">
        <v>991</v>
      </c>
      <c r="H32" s="279">
        <v>992</v>
      </c>
      <c r="I32" s="279">
        <v>991</v>
      </c>
      <c r="J32" s="279">
        <v>992</v>
      </c>
      <c r="K32" s="279">
        <v>991</v>
      </c>
      <c r="L32" s="279">
        <v>992</v>
      </c>
      <c r="Q32" s="27"/>
      <c r="R32" s="27"/>
      <c r="S32" s="27"/>
      <c r="T32" s="27"/>
      <c r="U32" s="27"/>
      <c r="V32" s="27"/>
      <c r="W32" s="27"/>
      <c r="X32" s="27"/>
      <c r="Y32" s="27"/>
      <c r="Z32" s="27"/>
      <c r="AA32" s="27"/>
      <c r="AB32" s="27"/>
      <c r="AC32" s="27"/>
      <c r="AD32" s="27"/>
      <c r="AE32" s="27"/>
      <c r="AF32" s="27"/>
      <c r="AG32" s="27"/>
      <c r="AH32" s="27"/>
      <c r="AI32" s="27"/>
      <c r="AJ32" s="76"/>
      <c r="AN32" s="76"/>
      <c r="AO32" s="76"/>
      <c r="AP32" s="76"/>
      <c r="AQ32" s="76"/>
      <c r="AR32" s="76"/>
    </row>
    <row r="33" spans="1:44" s="75" customFormat="1" x14ac:dyDescent="0.25">
      <c r="A33" s="70"/>
      <c r="B33" s="70"/>
      <c r="C33" s="71"/>
      <c r="D33" s="77"/>
      <c r="E33" s="77"/>
      <c r="F33" s="27"/>
      <c r="G33" s="29">
        <v>18394</v>
      </c>
      <c r="H33" s="29">
        <v>5393.9</v>
      </c>
      <c r="I33" s="29">
        <f>V28</f>
        <v>18394</v>
      </c>
      <c r="J33" s="29">
        <f>W28</f>
        <v>5400.8</v>
      </c>
      <c r="K33" s="29">
        <f>G33-I33</f>
        <v>0</v>
      </c>
      <c r="L33" s="29">
        <f>H33-J33</f>
        <v>-6.9</v>
      </c>
      <c r="Q33" s="27"/>
      <c r="R33" s="27"/>
      <c r="S33" s="27"/>
      <c r="T33" s="27"/>
      <c r="U33" s="27"/>
      <c r="V33" s="27"/>
      <c r="W33" s="27"/>
      <c r="X33" s="27"/>
      <c r="Y33" s="27"/>
      <c r="Z33" s="27"/>
      <c r="AA33" s="27"/>
      <c r="AB33" s="27"/>
      <c r="AC33" s="27"/>
      <c r="AD33" s="27"/>
      <c r="AE33" s="27"/>
      <c r="AF33" s="27"/>
      <c r="AG33" s="27"/>
      <c r="AH33" s="27"/>
      <c r="AI33" s="27"/>
      <c r="AJ33" s="76"/>
      <c r="AN33" s="76"/>
      <c r="AO33" s="76"/>
      <c r="AP33" s="76"/>
      <c r="AQ33" s="76"/>
      <c r="AR33" s="76"/>
    </row>
    <row r="38" spans="1:44" s="282" customFormat="1" ht="21" x14ac:dyDescent="0.25">
      <c r="A38" s="81"/>
      <c r="B38" s="82" t="s">
        <v>138</v>
      </c>
      <c r="C38" s="83"/>
      <c r="D38" s="84"/>
      <c r="E38" s="84"/>
      <c r="F38" s="85"/>
      <c r="G38" s="85"/>
      <c r="H38" s="86"/>
      <c r="I38" s="86"/>
      <c r="J38" s="85"/>
      <c r="K38" s="30" t="s">
        <v>166</v>
      </c>
      <c r="L38" s="85"/>
      <c r="M38" s="85"/>
      <c r="N38" s="87"/>
      <c r="O38" s="85"/>
      <c r="P38" s="85"/>
      <c r="Q38" s="85"/>
      <c r="R38" s="85"/>
      <c r="S38" s="85"/>
      <c r="T38" s="85"/>
      <c r="U38" s="85"/>
      <c r="V38" s="85"/>
      <c r="W38" s="85"/>
      <c r="X38" s="85"/>
      <c r="Y38" s="85"/>
      <c r="Z38" s="85"/>
      <c r="AA38" s="85"/>
      <c r="AB38" s="85"/>
      <c r="AC38" s="85"/>
      <c r="AD38" s="85"/>
      <c r="AE38" s="85"/>
      <c r="AF38" s="85"/>
      <c r="AG38" s="85"/>
      <c r="AH38" s="85"/>
      <c r="AI38" s="85"/>
      <c r="AK38" s="88"/>
      <c r="AL38" s="88"/>
      <c r="AM38" s="88"/>
      <c r="AN38" s="88"/>
      <c r="AO38" s="88"/>
    </row>
    <row r="39" spans="1:44" s="143" customFormat="1" x14ac:dyDescent="0.25">
      <c r="A39" s="136"/>
      <c r="B39" s="136"/>
      <c r="C39" s="137"/>
      <c r="D39" s="144"/>
      <c r="E39" s="144"/>
      <c r="F39" s="140"/>
      <c r="G39" s="140"/>
      <c r="H39" s="139"/>
      <c r="I39" s="139"/>
      <c r="J39" s="140"/>
      <c r="K39" s="140"/>
      <c r="L39" s="140"/>
      <c r="M39" s="140"/>
      <c r="N39" s="141"/>
      <c r="O39" s="140"/>
      <c r="P39" s="140"/>
      <c r="Q39" s="140"/>
      <c r="R39" s="140"/>
      <c r="S39" s="140"/>
      <c r="T39" s="140"/>
      <c r="U39" s="140"/>
      <c r="V39" s="140"/>
      <c r="W39" s="140"/>
      <c r="X39" s="140"/>
      <c r="Y39" s="140"/>
      <c r="Z39" s="140"/>
      <c r="AA39" s="140"/>
      <c r="AB39" s="140"/>
      <c r="AC39" s="140"/>
      <c r="AD39" s="140"/>
      <c r="AE39" s="140"/>
      <c r="AF39" s="142"/>
      <c r="AK39" s="142"/>
      <c r="AL39" s="142"/>
      <c r="AM39" s="142"/>
      <c r="AN39" s="76"/>
      <c r="AO39" s="76"/>
      <c r="AP39" s="76"/>
      <c r="AQ39" s="76"/>
      <c r="AR39" s="99"/>
    </row>
    <row r="40" spans="1:44" s="143" customFormat="1" x14ac:dyDescent="0.25">
      <c r="A40" s="136"/>
      <c r="B40" s="136"/>
      <c r="C40" s="137"/>
      <c r="D40" s="144"/>
      <c r="E40" s="144"/>
      <c r="F40" s="140"/>
      <c r="G40" s="140"/>
      <c r="H40" s="139"/>
      <c r="I40" s="139"/>
      <c r="J40" s="140"/>
      <c r="K40" s="140"/>
      <c r="L40" s="140"/>
      <c r="M40" s="140"/>
      <c r="N40" s="202"/>
      <c r="O40" s="203"/>
      <c r="P40" s="140"/>
      <c r="Q40" s="140"/>
      <c r="R40" s="140"/>
      <c r="S40" s="140"/>
      <c r="T40" s="140"/>
      <c r="U40" s="140"/>
      <c r="V40" s="140"/>
      <c r="W40" s="140"/>
      <c r="X40" s="140"/>
      <c r="Y40" s="140"/>
      <c r="Z40" s="140"/>
      <c r="AA40" s="140"/>
      <c r="AB40" s="140"/>
      <c r="AC40" s="140"/>
      <c r="AD40" s="140"/>
      <c r="AE40" s="140"/>
      <c r="AF40" s="142"/>
      <c r="AK40" s="142"/>
      <c r="AL40" s="142"/>
      <c r="AM40" s="142"/>
      <c r="AN40" s="76"/>
      <c r="AO40" s="76"/>
      <c r="AP40" s="76"/>
      <c r="AQ40" s="76"/>
      <c r="AR40" s="252"/>
    </row>
    <row r="41" spans="1:44" s="143" customFormat="1" ht="20.25" customHeight="1" x14ac:dyDescent="0.25">
      <c r="A41" s="145" t="s">
        <v>96</v>
      </c>
      <c r="B41" s="145"/>
      <c r="C41" s="146"/>
      <c r="D41" s="146"/>
      <c r="E41" s="146"/>
      <c r="F41" s="146"/>
      <c r="G41" s="146"/>
      <c r="H41" s="146"/>
      <c r="I41" s="146"/>
      <c r="J41" s="146"/>
      <c r="K41" s="146"/>
      <c r="L41" s="147"/>
      <c r="M41" s="147"/>
      <c r="N41" s="202"/>
      <c r="O41" s="203"/>
      <c r="P41" s="147"/>
      <c r="Q41" s="147"/>
      <c r="R41" s="147"/>
      <c r="S41" s="147"/>
      <c r="T41" s="147"/>
      <c r="U41" s="147"/>
      <c r="V41" s="147"/>
      <c r="W41" s="147"/>
      <c r="X41" s="147"/>
      <c r="Y41" s="147"/>
      <c r="Z41" s="147"/>
      <c r="AA41" s="147"/>
      <c r="AB41" s="147"/>
      <c r="AC41" s="147"/>
      <c r="AD41" s="147"/>
      <c r="AE41" s="147"/>
      <c r="AF41" s="142"/>
      <c r="AK41" s="142"/>
      <c r="AL41" s="142"/>
      <c r="AM41" s="142"/>
      <c r="AN41" s="76"/>
      <c r="AO41" s="76"/>
      <c r="AP41" s="76"/>
      <c r="AQ41" s="76"/>
      <c r="AR41" s="99"/>
    </row>
    <row r="42" spans="1:44" s="143" customFormat="1" ht="20.25" customHeight="1" x14ac:dyDescent="0.25">
      <c r="A42" s="145" t="s">
        <v>139</v>
      </c>
      <c r="B42" s="149"/>
      <c r="C42" s="150"/>
      <c r="D42" s="150"/>
      <c r="E42" s="151"/>
      <c r="F42" s="151"/>
      <c r="G42" s="151"/>
      <c r="H42" s="151"/>
      <c r="I42" s="151"/>
      <c r="J42" s="151"/>
      <c r="K42" s="151"/>
      <c r="L42" s="147"/>
      <c r="M42" s="147"/>
      <c r="N42" s="202"/>
      <c r="O42" s="203"/>
      <c r="P42" s="147"/>
      <c r="Q42" s="147"/>
      <c r="R42" s="147"/>
      <c r="S42" s="147"/>
      <c r="T42" s="147"/>
      <c r="U42" s="147"/>
      <c r="V42" s="147"/>
      <c r="W42" s="147"/>
      <c r="X42" s="147"/>
      <c r="Y42" s="147"/>
      <c r="Z42" s="147"/>
      <c r="AA42" s="147"/>
      <c r="AB42" s="147"/>
      <c r="AC42" s="147"/>
      <c r="AD42" s="147"/>
      <c r="AE42" s="147"/>
      <c r="AF42" s="142"/>
      <c r="AK42" s="142"/>
      <c r="AL42" s="142"/>
      <c r="AM42" s="142"/>
      <c r="AN42" s="76"/>
      <c r="AO42" s="76"/>
      <c r="AP42" s="76"/>
      <c r="AQ42" s="76"/>
      <c r="AR42" s="252"/>
    </row>
    <row r="44" spans="1:44" x14ac:dyDescent="0.25">
      <c r="E44" s="115"/>
    </row>
    <row r="45" spans="1:44" x14ac:dyDescent="0.25">
      <c r="E45" s="115"/>
    </row>
    <row r="46" spans="1:44" x14ac:dyDescent="0.25">
      <c r="E46" s="115"/>
      <c r="Y46" s="99" t="s">
        <v>124</v>
      </c>
    </row>
    <row r="47" spans="1:44" x14ac:dyDescent="0.25">
      <c r="E47" s="115"/>
    </row>
    <row r="48" spans="1:44" x14ac:dyDescent="0.25">
      <c r="E48" s="115"/>
    </row>
    <row r="49" spans="5:5" x14ac:dyDescent="0.25">
      <c r="E49" s="115"/>
    </row>
    <row r="50" spans="5:5" x14ac:dyDescent="0.25">
      <c r="E50" s="115"/>
    </row>
    <row r="51" spans="5:5" x14ac:dyDescent="0.25">
      <c r="E51" s="115"/>
    </row>
    <row r="52" spans="5:5" x14ac:dyDescent="0.25">
      <c r="E52" s="115"/>
    </row>
    <row r="53" spans="5:5" x14ac:dyDescent="0.25">
      <c r="E53" s="115"/>
    </row>
    <row r="54" spans="5:5" x14ac:dyDescent="0.25">
      <c r="E54" s="115"/>
    </row>
    <row r="55" spans="5:5" x14ac:dyDescent="0.25">
      <c r="E55" s="115"/>
    </row>
    <row r="56" spans="5:5" x14ac:dyDescent="0.25">
      <c r="E56" s="115"/>
    </row>
    <row r="57" spans="5:5" x14ac:dyDescent="0.25">
      <c r="E57" s="115"/>
    </row>
    <row r="58" spans="5:5" x14ac:dyDescent="0.25">
      <c r="E58" s="115"/>
    </row>
    <row r="59" spans="5:5" x14ac:dyDescent="0.25">
      <c r="E59" s="115"/>
    </row>
    <row r="60" spans="5:5" x14ac:dyDescent="0.25">
      <c r="E60" s="115"/>
    </row>
    <row r="61" spans="5:5" x14ac:dyDescent="0.25">
      <c r="E61" s="115"/>
    </row>
    <row r="62" spans="5:5" x14ac:dyDescent="0.25">
      <c r="E62" s="115"/>
    </row>
    <row r="63" spans="5:5" x14ac:dyDescent="0.25">
      <c r="E63" s="115"/>
    </row>
    <row r="64" spans="5:5" x14ac:dyDescent="0.25">
      <c r="E64" s="115"/>
    </row>
    <row r="65" spans="5:5" x14ac:dyDescent="0.25">
      <c r="E65" s="115"/>
    </row>
    <row r="66" spans="5:5" x14ac:dyDescent="0.25">
      <c r="E66" s="115"/>
    </row>
    <row r="67" spans="5:5" x14ac:dyDescent="0.25">
      <c r="E67" s="115"/>
    </row>
    <row r="68" spans="5:5" x14ac:dyDescent="0.25">
      <c r="E68" s="115"/>
    </row>
  </sheetData>
  <autoFilter ref="A8:AS28"/>
  <mergeCells count="37">
    <mergeCell ref="G31:H31"/>
    <mergeCell ref="I31:J31"/>
    <mergeCell ref="K31:L31"/>
    <mergeCell ref="AA6:AC6"/>
    <mergeCell ref="J6:J7"/>
    <mergeCell ref="K6:K7"/>
    <mergeCell ref="AH6:AH7"/>
    <mergeCell ref="U9:U27"/>
    <mergeCell ref="A28:B28"/>
    <mergeCell ref="S6:S7"/>
    <mergeCell ref="T6:T7"/>
    <mergeCell ref="U6:U7"/>
    <mergeCell ref="V6:V7"/>
    <mergeCell ref="W6:W7"/>
    <mergeCell ref="X6:Z6"/>
    <mergeCell ref="L6:L7"/>
    <mergeCell ref="F6:F7"/>
    <mergeCell ref="G6:G7"/>
    <mergeCell ref="H6:H7"/>
    <mergeCell ref="I6:I7"/>
    <mergeCell ref="R6:R7"/>
    <mergeCell ref="AE1:AH1"/>
    <mergeCell ref="A2:AH2"/>
    <mergeCell ref="A3:AH3"/>
    <mergeCell ref="A5:A7"/>
    <mergeCell ref="B5:B7"/>
    <mergeCell ref="C5:C7"/>
    <mergeCell ref="D5:W5"/>
    <mergeCell ref="X5:AH5"/>
    <mergeCell ref="D6:D7"/>
    <mergeCell ref="E6:E7"/>
    <mergeCell ref="AG6:AG7"/>
    <mergeCell ref="M6:M7"/>
    <mergeCell ref="N6:O6"/>
    <mergeCell ref="P6:P7"/>
    <mergeCell ref="Q6:Q7"/>
    <mergeCell ref="AD6:AF6"/>
  </mergeCells>
  <printOptions horizontalCentered="1"/>
  <pageMargins left="0" right="0" top="0" bottom="0" header="0.31496062992125984" footer="0.31496062992125984"/>
  <pageSetup paperSize="9" scale="37"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P74"/>
  <sheetViews>
    <sheetView view="pageBreakPreview" zoomScale="70" zoomScaleNormal="80" zoomScaleSheetLayoutView="70" workbookViewId="0">
      <pane xSplit="3" ySplit="8" topLeftCell="D9"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2" x14ac:dyDescent="0.25"/>
  <cols>
    <col min="1" max="1" width="8" style="33" customWidth="1"/>
    <col min="2" max="2" width="30.77734375" style="22" customWidth="1"/>
    <col min="3" max="3" width="13.77734375" style="22" customWidth="1"/>
    <col min="4" max="4" width="13.109375" style="22" customWidth="1"/>
    <col min="5" max="5" width="13" style="22" customWidth="1"/>
    <col min="6" max="6" width="14.6640625" style="22" customWidth="1"/>
    <col min="7" max="7" width="13.109375" style="22" customWidth="1"/>
    <col min="8" max="8" width="15.6640625" style="22" customWidth="1"/>
    <col min="9" max="9" width="13.44140625" style="22" customWidth="1"/>
    <col min="10" max="10" width="20.33203125" style="22" customWidth="1"/>
    <col min="11" max="11" width="13" style="22" customWidth="1"/>
    <col min="12" max="16" width="14.77734375" style="22" customWidth="1"/>
    <col min="17" max="17" width="12.33203125" style="22" customWidth="1"/>
    <col min="18" max="18" width="13" style="22" customWidth="1"/>
    <col min="19" max="19" width="18.109375" style="22" customWidth="1"/>
    <col min="20" max="20" width="14.77734375" style="22" customWidth="1"/>
    <col min="21" max="21" width="14" style="22" customWidth="1"/>
    <col min="22" max="22" width="15.6640625" style="22" customWidth="1"/>
    <col min="23" max="23" width="14.44140625" style="22" customWidth="1"/>
    <col min="24" max="24" width="11.33203125" style="22" customWidth="1"/>
    <col min="25" max="25" width="11" style="22" customWidth="1"/>
    <col min="26" max="26" width="11.44140625" style="22" customWidth="1"/>
    <col min="27" max="28" width="9.33203125" style="22" customWidth="1"/>
    <col min="29" max="29" width="10.109375" style="22" customWidth="1"/>
    <col min="30" max="30" width="8.44140625" style="22" customWidth="1"/>
    <col min="31" max="31" width="10.77734375" style="22" customWidth="1"/>
    <col min="32" max="32" width="10.33203125" style="22" customWidth="1"/>
    <col min="33" max="33" width="11.44140625" style="22" customWidth="1"/>
    <col min="34" max="34" width="13.77734375" style="22" customWidth="1"/>
    <col min="35" max="35" width="12" style="34" customWidth="1"/>
    <col min="36" max="36" width="17.77734375" style="22" customWidth="1"/>
    <col min="37" max="37" width="14" style="22" bestFit="1" customWidth="1"/>
    <col min="38" max="39" width="9.44140625" style="22" bestFit="1" customWidth="1"/>
    <col min="40" max="40" width="11.44140625" style="22" bestFit="1" customWidth="1"/>
    <col min="41" max="41" width="9.33203125" style="22"/>
    <col min="42" max="42" width="9.44140625" style="22" bestFit="1" customWidth="1"/>
    <col min="43" max="16384" width="9.33203125" style="22"/>
  </cols>
  <sheetData>
    <row r="1" spans="1:42" ht="21.75" customHeight="1" x14ac:dyDescent="0.25">
      <c r="AE1" s="1534"/>
      <c r="AF1" s="1534"/>
      <c r="AG1" s="1534"/>
      <c r="AH1" s="1534"/>
    </row>
    <row r="2" spans="1:42" ht="33" customHeight="1" x14ac:dyDescent="0.25">
      <c r="A2" s="1535" t="s">
        <v>154</v>
      </c>
      <c r="B2" s="1535"/>
      <c r="C2" s="1535"/>
      <c r="D2" s="1535"/>
      <c r="E2" s="1535"/>
      <c r="F2" s="1535"/>
      <c r="G2" s="1535"/>
      <c r="H2" s="1535"/>
      <c r="I2" s="1535"/>
      <c r="J2" s="1535"/>
      <c r="K2" s="1535"/>
      <c r="L2" s="1535"/>
      <c r="M2" s="1535"/>
      <c r="N2" s="1535"/>
      <c r="O2" s="1535"/>
      <c r="P2" s="1535"/>
      <c r="Q2" s="1535"/>
      <c r="R2" s="1535"/>
      <c r="S2" s="1535"/>
      <c r="T2" s="1535"/>
      <c r="U2" s="1535"/>
      <c r="V2" s="1535"/>
      <c r="W2" s="1535"/>
      <c r="X2" s="1535"/>
      <c r="Y2" s="1535"/>
      <c r="Z2" s="1535"/>
      <c r="AA2" s="1535"/>
      <c r="AB2" s="1535"/>
      <c r="AC2" s="1535"/>
      <c r="AD2" s="1535"/>
      <c r="AE2" s="1535"/>
      <c r="AF2" s="1535"/>
      <c r="AG2" s="1535"/>
      <c r="AH2" s="1535"/>
      <c r="AI2" s="36"/>
    </row>
    <row r="3" spans="1:42" ht="24.75" customHeight="1" x14ac:dyDescent="0.25">
      <c r="A3" s="1536"/>
      <c r="B3" s="1536"/>
      <c r="C3" s="1536"/>
      <c r="D3" s="1536"/>
      <c r="E3" s="1536"/>
      <c r="F3" s="1536"/>
      <c r="G3" s="1536"/>
      <c r="H3" s="1536"/>
      <c r="I3" s="1536"/>
      <c r="J3" s="1536"/>
      <c r="K3" s="1536"/>
      <c r="L3" s="1536"/>
      <c r="M3" s="1536"/>
      <c r="N3" s="1536"/>
      <c r="O3" s="1536"/>
      <c r="P3" s="1536"/>
      <c r="Q3" s="1536"/>
      <c r="R3" s="1536"/>
      <c r="S3" s="1536"/>
      <c r="T3" s="1536"/>
      <c r="U3" s="1536"/>
      <c r="V3" s="1536"/>
      <c r="W3" s="1536"/>
      <c r="X3" s="1536"/>
      <c r="Y3" s="1536"/>
      <c r="Z3" s="1536"/>
      <c r="AA3" s="1536"/>
      <c r="AB3" s="1536"/>
      <c r="AC3" s="1536"/>
      <c r="AD3" s="1536"/>
      <c r="AE3" s="1536"/>
      <c r="AF3" s="1536"/>
      <c r="AG3" s="1536"/>
      <c r="AH3" s="1536"/>
      <c r="AI3" s="283"/>
    </row>
    <row r="4" spans="1:42" x14ac:dyDescent="0.25">
      <c r="L4" s="22">
        <v>0.32216</v>
      </c>
      <c r="O4" s="39"/>
      <c r="P4" s="39"/>
    </row>
    <row r="5" spans="1:42" ht="38.25" customHeight="1" x14ac:dyDescent="0.25">
      <c r="A5" s="1537" t="s">
        <v>78</v>
      </c>
      <c r="B5" s="1537" t="s">
        <v>77</v>
      </c>
      <c r="C5" s="1538" t="s">
        <v>0</v>
      </c>
      <c r="D5" s="1538" t="s">
        <v>3</v>
      </c>
      <c r="E5" s="1538"/>
      <c r="F5" s="1538"/>
      <c r="G5" s="1538"/>
      <c r="H5" s="1538"/>
      <c r="I5" s="1538"/>
      <c r="J5" s="1538"/>
      <c r="K5" s="1538"/>
      <c r="L5" s="1538"/>
      <c r="M5" s="1538"/>
      <c r="N5" s="1538"/>
      <c r="O5" s="1538"/>
      <c r="P5" s="1538"/>
      <c r="Q5" s="1538"/>
      <c r="R5" s="1538"/>
      <c r="S5" s="1538"/>
      <c r="T5" s="1538"/>
      <c r="U5" s="1538"/>
      <c r="V5" s="1538"/>
      <c r="W5" s="1538"/>
      <c r="X5" s="1538" t="s">
        <v>4</v>
      </c>
      <c r="Y5" s="1538"/>
      <c r="Z5" s="1538"/>
      <c r="AA5" s="1538"/>
      <c r="AB5" s="1538"/>
      <c r="AC5" s="1538"/>
      <c r="AD5" s="1538"/>
      <c r="AE5" s="1538"/>
      <c r="AF5" s="1538"/>
      <c r="AG5" s="1538"/>
      <c r="AH5" s="1538"/>
    </row>
    <row r="6" spans="1:42" ht="60" customHeight="1" x14ac:dyDescent="0.25">
      <c r="A6" s="1537"/>
      <c r="B6" s="1537"/>
      <c r="C6" s="1538"/>
      <c r="D6" s="1530" t="s">
        <v>79</v>
      </c>
      <c r="E6" s="1530" t="s">
        <v>69</v>
      </c>
      <c r="F6" s="1530" t="s">
        <v>89</v>
      </c>
      <c r="G6" s="1530" t="s">
        <v>1</v>
      </c>
      <c r="H6" s="1530" t="s">
        <v>2</v>
      </c>
      <c r="I6" s="1530" t="s">
        <v>70</v>
      </c>
      <c r="J6" s="1530" t="s">
        <v>61</v>
      </c>
      <c r="K6" s="1530" t="s">
        <v>27</v>
      </c>
      <c r="L6" s="1533" t="s">
        <v>65</v>
      </c>
      <c r="M6" s="1533" t="s">
        <v>86</v>
      </c>
      <c r="N6" s="1539" t="s">
        <v>90</v>
      </c>
      <c r="O6" s="1539"/>
      <c r="P6" s="1539" t="s">
        <v>88</v>
      </c>
      <c r="Q6" s="1533" t="s">
        <v>82</v>
      </c>
      <c r="R6" s="1530" t="s">
        <v>83</v>
      </c>
      <c r="S6" s="1533" t="s">
        <v>87</v>
      </c>
      <c r="T6" s="1530" t="s">
        <v>84</v>
      </c>
      <c r="U6" s="1530" t="s">
        <v>9</v>
      </c>
      <c r="V6" s="1530" t="s">
        <v>7</v>
      </c>
      <c r="W6" s="1530" t="s">
        <v>85</v>
      </c>
      <c r="X6" s="1538" t="s">
        <v>10</v>
      </c>
      <c r="Y6" s="1538"/>
      <c r="Z6" s="1538"/>
      <c r="AA6" s="1538" t="s">
        <v>11</v>
      </c>
      <c r="AB6" s="1538"/>
      <c r="AC6" s="1538"/>
      <c r="AD6" s="1538" t="s">
        <v>12</v>
      </c>
      <c r="AE6" s="1538"/>
      <c r="AF6" s="1538"/>
      <c r="AG6" s="1538" t="s">
        <v>13</v>
      </c>
      <c r="AH6" s="1538" t="s">
        <v>73</v>
      </c>
    </row>
    <row r="7" spans="1:42" ht="57" customHeight="1" x14ac:dyDescent="0.25">
      <c r="A7" s="1537"/>
      <c r="B7" s="1537"/>
      <c r="C7" s="1538"/>
      <c r="D7" s="1530"/>
      <c r="E7" s="1530"/>
      <c r="F7" s="1530"/>
      <c r="G7" s="1530"/>
      <c r="H7" s="1530"/>
      <c r="I7" s="1530"/>
      <c r="J7" s="1530"/>
      <c r="K7" s="1530"/>
      <c r="L7" s="1533" t="s">
        <v>66</v>
      </c>
      <c r="M7" s="1533"/>
      <c r="N7" s="281" t="s">
        <v>80</v>
      </c>
      <c r="O7" s="281" t="s">
        <v>81</v>
      </c>
      <c r="P7" s="1539"/>
      <c r="Q7" s="1533"/>
      <c r="R7" s="1530"/>
      <c r="S7" s="1533" t="s">
        <v>67</v>
      </c>
      <c r="T7" s="1530"/>
      <c r="U7" s="1530"/>
      <c r="V7" s="1530"/>
      <c r="W7" s="1530"/>
      <c r="X7" s="280" t="s">
        <v>5</v>
      </c>
      <c r="Y7" s="280" t="s">
        <v>6</v>
      </c>
      <c r="Z7" s="280" t="s">
        <v>74</v>
      </c>
      <c r="AA7" s="280" t="s">
        <v>5</v>
      </c>
      <c r="AB7" s="280" t="s">
        <v>6</v>
      </c>
      <c r="AC7" s="280" t="s">
        <v>75</v>
      </c>
      <c r="AD7" s="280" t="s">
        <v>5</v>
      </c>
      <c r="AE7" s="280" t="s">
        <v>6</v>
      </c>
      <c r="AF7" s="280" t="s">
        <v>76</v>
      </c>
      <c r="AG7" s="1538"/>
      <c r="AH7" s="1538"/>
      <c r="AJ7" s="33" t="s">
        <v>64</v>
      </c>
    </row>
    <row r="8" spans="1:42" ht="12.75" customHeight="1" x14ac:dyDescent="0.25">
      <c r="A8" s="278">
        <v>1</v>
      </c>
      <c r="B8" s="278">
        <v>2</v>
      </c>
      <c r="C8" s="278">
        <v>3</v>
      </c>
      <c r="D8" s="278">
        <v>4</v>
      </c>
      <c r="E8" s="278">
        <v>5</v>
      </c>
      <c r="F8" s="278">
        <v>6</v>
      </c>
      <c r="G8" s="278">
        <v>7</v>
      </c>
      <c r="H8" s="278">
        <v>8</v>
      </c>
      <c r="I8" s="278">
        <v>9</v>
      </c>
      <c r="J8" s="278">
        <v>10</v>
      </c>
      <c r="K8" s="278">
        <v>11</v>
      </c>
      <c r="L8" s="278">
        <v>12</v>
      </c>
      <c r="M8" s="278">
        <v>13</v>
      </c>
      <c r="N8" s="278">
        <v>14</v>
      </c>
      <c r="O8" s="278">
        <v>15</v>
      </c>
      <c r="P8" s="278">
        <v>16</v>
      </c>
      <c r="Q8" s="278">
        <v>17</v>
      </c>
      <c r="R8" s="278">
        <v>18</v>
      </c>
      <c r="S8" s="278">
        <v>19</v>
      </c>
      <c r="T8" s="278">
        <v>20</v>
      </c>
      <c r="U8" s="278">
        <v>21</v>
      </c>
      <c r="V8" s="278">
        <v>22</v>
      </c>
      <c r="W8" s="278">
        <v>23</v>
      </c>
      <c r="X8" s="278">
        <v>24</v>
      </c>
      <c r="Y8" s="278">
        <v>25</v>
      </c>
      <c r="Z8" s="278">
        <v>26</v>
      </c>
      <c r="AA8" s="278">
        <v>27</v>
      </c>
      <c r="AB8" s="278">
        <v>28</v>
      </c>
      <c r="AC8" s="278">
        <v>29</v>
      </c>
      <c r="AD8" s="278">
        <v>30</v>
      </c>
      <c r="AE8" s="278">
        <v>31</v>
      </c>
      <c r="AF8" s="278">
        <v>32</v>
      </c>
      <c r="AG8" s="278">
        <v>33</v>
      </c>
      <c r="AH8" s="278">
        <v>34</v>
      </c>
      <c r="AK8" s="43" t="s">
        <v>116</v>
      </c>
      <c r="AL8" s="43" t="s">
        <v>117</v>
      </c>
      <c r="AM8" s="43" t="s">
        <v>118</v>
      </c>
      <c r="AN8" s="43" t="s">
        <v>119</v>
      </c>
    </row>
    <row r="9" spans="1:42" ht="27" customHeight="1" x14ac:dyDescent="0.25">
      <c r="A9" s="278">
        <v>1</v>
      </c>
      <c r="B9" s="44" t="s">
        <v>21</v>
      </c>
      <c r="C9" s="278">
        <v>1</v>
      </c>
      <c r="D9" s="45">
        <v>21.991</v>
      </c>
      <c r="E9" s="46">
        <f>C9*D9</f>
        <v>21.99</v>
      </c>
      <c r="F9" s="47">
        <f>E9*12</f>
        <v>263.89999999999998</v>
      </c>
      <c r="G9" s="24"/>
      <c r="H9" s="24"/>
      <c r="I9" s="24"/>
      <c r="J9" s="24"/>
      <c r="K9" s="24">
        <f>D9*0.3*12+0.05*9</f>
        <v>79.599999999999994</v>
      </c>
      <c r="L9" s="24">
        <f>F9*$L$4</f>
        <v>85</v>
      </c>
      <c r="M9" s="24">
        <f t="shared" ref="M9:M27" si="0">F9+G9+H9+I9+J9+K9+L9</f>
        <v>428.5</v>
      </c>
      <c r="N9" s="48">
        <v>1.1100000000000001</v>
      </c>
      <c r="O9" s="24">
        <f t="shared" ref="O9:O27" si="1">M9*N9</f>
        <v>475.6</v>
      </c>
      <c r="P9" s="24">
        <f>M9+O9</f>
        <v>904.1</v>
      </c>
      <c r="Q9" s="24">
        <f>P9*0.8</f>
        <v>723.3</v>
      </c>
      <c r="R9" s="24">
        <f t="shared" ref="R9:R27" si="2">P9*0.8</f>
        <v>723.3</v>
      </c>
      <c r="S9" s="24">
        <f>(P9+Q9+R9)*0.032</f>
        <v>75.2</v>
      </c>
      <c r="T9" s="49">
        <f t="shared" ref="T9:T27" si="3">P9+Q9+R9+S9</f>
        <v>2425.9</v>
      </c>
      <c r="U9" s="1531">
        <v>1</v>
      </c>
      <c r="V9" s="49">
        <f>T9*$U$9</f>
        <v>2425.9</v>
      </c>
      <c r="W9" s="49">
        <f>AN9</f>
        <v>534.29999999999995</v>
      </c>
      <c r="X9" s="278">
        <v>1</v>
      </c>
      <c r="Y9" s="24">
        <v>30</v>
      </c>
      <c r="Z9" s="48">
        <f t="shared" ref="Z9:Z25" si="4">X9*Y9</f>
        <v>30</v>
      </c>
      <c r="AA9" s="278"/>
      <c r="AB9" s="24">
        <v>15</v>
      </c>
      <c r="AC9" s="48">
        <f t="shared" ref="AC9:AC25" si="5">AA9*AB9</f>
        <v>0</v>
      </c>
      <c r="AD9" s="278"/>
      <c r="AE9" s="24">
        <v>30</v>
      </c>
      <c r="AF9" s="48">
        <f t="shared" ref="AF9:AF25" si="6">AD9*AE9</f>
        <v>0</v>
      </c>
      <c r="AG9" s="48">
        <f t="shared" ref="AG9:AG25" si="7">(Z9+AC9+AF9)*1%*30</f>
        <v>9</v>
      </c>
      <c r="AH9" s="48">
        <f t="shared" ref="AH9:AH25" si="8">Z9+AC9+AF9+AG9</f>
        <v>39</v>
      </c>
      <c r="AI9" s="34">
        <f t="shared" ref="AI9:AI27" si="9">V9/12/C9*1000</f>
        <v>202158.3</v>
      </c>
      <c r="AJ9" s="34">
        <f t="shared" ref="AJ9:AJ27" si="10">V9/C9</f>
        <v>2425.9</v>
      </c>
      <c r="AK9" s="50">
        <f>1150*0.22*C9+(V9-1150*C9)*0.1</f>
        <v>380.6</v>
      </c>
      <c r="AL9" s="50">
        <f>865*0.029*C9</f>
        <v>25.1</v>
      </c>
      <c r="AM9" s="50">
        <f t="shared" ref="AM9:AM27" si="11">V9*0.053</f>
        <v>128.6</v>
      </c>
      <c r="AN9" s="50">
        <f>SUM(AK9:AM9)</f>
        <v>534.29999999999995</v>
      </c>
      <c r="AP9" s="51"/>
    </row>
    <row r="10" spans="1:42" ht="27" customHeight="1" x14ac:dyDescent="0.25">
      <c r="A10" s="278">
        <v>2</v>
      </c>
      <c r="B10" s="44" t="s">
        <v>125</v>
      </c>
      <c r="C10" s="278">
        <v>3</v>
      </c>
      <c r="D10" s="45">
        <v>15.394</v>
      </c>
      <c r="E10" s="46">
        <f>C10*D10</f>
        <v>46.18</v>
      </c>
      <c r="F10" s="47">
        <f>E10*12</f>
        <v>554.20000000000005</v>
      </c>
      <c r="G10" s="24"/>
      <c r="H10" s="24"/>
      <c r="I10" s="24"/>
      <c r="J10" s="24"/>
      <c r="K10" s="24">
        <f>D10*0.2*2*12+D10*0.4*12+D10*0.05*3</f>
        <v>150.1</v>
      </c>
      <c r="L10" s="24">
        <f t="shared" ref="L10:L25" si="12">F10*$L$4</f>
        <v>178.5</v>
      </c>
      <c r="M10" s="24">
        <f>F10+G10+H10+I10+J10+K10+L10</f>
        <v>882.8</v>
      </c>
      <c r="N10" s="48">
        <v>0.47</v>
      </c>
      <c r="O10" s="24">
        <f>M10*N10</f>
        <v>414.9</v>
      </c>
      <c r="P10" s="24">
        <f>M10+O10</f>
        <v>1297.7</v>
      </c>
      <c r="Q10" s="24">
        <f>P10*0.8</f>
        <v>1038.2</v>
      </c>
      <c r="R10" s="24">
        <f>P10*0.8</f>
        <v>1038.2</v>
      </c>
      <c r="S10" s="24">
        <f>(P10+Q10+R10)*0.032</f>
        <v>108</v>
      </c>
      <c r="T10" s="49">
        <f>P10+Q10+R10+S10</f>
        <v>3482.1</v>
      </c>
      <c r="U10" s="1532"/>
      <c r="V10" s="49">
        <f>T10*$U$9</f>
        <v>3482.1</v>
      </c>
      <c r="W10" s="49">
        <f>AN10</f>
        <v>1022.1</v>
      </c>
      <c r="X10" s="278">
        <v>2</v>
      </c>
      <c r="Y10" s="24">
        <v>30</v>
      </c>
      <c r="Z10" s="48">
        <f>X10*Y10</f>
        <v>60</v>
      </c>
      <c r="AA10" s="278">
        <v>1</v>
      </c>
      <c r="AB10" s="24">
        <v>15</v>
      </c>
      <c r="AC10" s="48">
        <f>AA10*AB10</f>
        <v>15</v>
      </c>
      <c r="AD10" s="278">
        <v>3</v>
      </c>
      <c r="AE10" s="24">
        <v>30</v>
      </c>
      <c r="AF10" s="48">
        <f>AD10*AE10</f>
        <v>90</v>
      </c>
      <c r="AG10" s="48">
        <f>(Z10+AC10+AF10)*1%*30</f>
        <v>49.5</v>
      </c>
      <c r="AH10" s="48">
        <f>Z10+AC10+AF10+AG10</f>
        <v>214.5</v>
      </c>
      <c r="AI10" s="34">
        <f t="shared" si="9"/>
        <v>96725</v>
      </c>
      <c r="AJ10" s="34">
        <f t="shared" si="10"/>
        <v>1160.7</v>
      </c>
      <c r="AK10" s="50">
        <f>1150*0.22*C10+(V10-1150*C10)*0.1</f>
        <v>762.2</v>
      </c>
      <c r="AL10" s="50">
        <f>865*0.029*C10</f>
        <v>75.3</v>
      </c>
      <c r="AM10" s="50">
        <f t="shared" si="11"/>
        <v>184.6</v>
      </c>
      <c r="AN10" s="50">
        <f>SUM(AK10:AM10)</f>
        <v>1022.1</v>
      </c>
      <c r="AP10" s="51"/>
    </row>
    <row r="11" spans="1:42" ht="27" customHeight="1" x14ac:dyDescent="0.25">
      <c r="A11" s="278">
        <v>3</v>
      </c>
      <c r="B11" s="52" t="s">
        <v>23</v>
      </c>
      <c r="C11" s="278">
        <v>7</v>
      </c>
      <c r="D11" s="53">
        <v>11.061999999999999</v>
      </c>
      <c r="E11" s="46">
        <f t="shared" ref="E11:E27" si="13">C11*D11</f>
        <v>77.430000000000007</v>
      </c>
      <c r="F11" s="47">
        <f t="shared" ref="F11:F27" si="14">E11*12</f>
        <v>929.2</v>
      </c>
      <c r="G11" s="24"/>
      <c r="H11" s="24">
        <f>(6470.9+1198.32)/1000</f>
        <v>7.7</v>
      </c>
      <c r="I11" s="24"/>
      <c r="J11" s="24"/>
      <c r="K11" s="24">
        <f>D11*0.25*12+D11*0.35*12+D11*0.4*4*12</f>
        <v>292</v>
      </c>
      <c r="L11" s="24">
        <f t="shared" si="12"/>
        <v>299.39999999999998</v>
      </c>
      <c r="M11" s="24">
        <f t="shared" si="0"/>
        <v>1528.3</v>
      </c>
      <c r="N11" s="48">
        <v>0.43</v>
      </c>
      <c r="O11" s="24">
        <f t="shared" si="1"/>
        <v>657.2</v>
      </c>
      <c r="P11" s="24">
        <f t="shared" ref="P11:P27" si="15">M11+O11</f>
        <v>2185.5</v>
      </c>
      <c r="Q11" s="24">
        <f t="shared" ref="Q11:Q27" si="16">P11*0.8</f>
        <v>1748.4</v>
      </c>
      <c r="R11" s="24">
        <f t="shared" si="2"/>
        <v>1748.4</v>
      </c>
      <c r="S11" s="24">
        <f t="shared" ref="S11:S27" si="17">(P11+Q11+R11)*0.032</f>
        <v>181.8</v>
      </c>
      <c r="T11" s="49">
        <f t="shared" si="3"/>
        <v>5864.1</v>
      </c>
      <c r="U11" s="1532"/>
      <c r="V11" s="49">
        <f t="shared" ref="V11:V25" si="18">T11*$U$9</f>
        <v>5864.1</v>
      </c>
      <c r="W11" s="49">
        <f>V11*0.302</f>
        <v>1771</v>
      </c>
      <c r="X11" s="278">
        <v>2</v>
      </c>
      <c r="Y11" s="24">
        <v>30</v>
      </c>
      <c r="Z11" s="48">
        <f t="shared" si="4"/>
        <v>60</v>
      </c>
      <c r="AA11" s="278">
        <v>3</v>
      </c>
      <c r="AB11" s="24">
        <v>15</v>
      </c>
      <c r="AC11" s="48">
        <f t="shared" si="5"/>
        <v>45</v>
      </c>
      <c r="AD11" s="278"/>
      <c r="AE11" s="24">
        <v>30</v>
      </c>
      <c r="AF11" s="48">
        <f t="shared" si="6"/>
        <v>0</v>
      </c>
      <c r="AG11" s="48">
        <f>(Z11+AC11+AF11)*1%*30</f>
        <v>31.5</v>
      </c>
      <c r="AH11" s="48">
        <f t="shared" si="8"/>
        <v>136.5</v>
      </c>
      <c r="AI11" s="34">
        <f t="shared" si="9"/>
        <v>69810.7</v>
      </c>
      <c r="AJ11" s="34">
        <f t="shared" si="10"/>
        <v>837.7</v>
      </c>
      <c r="AK11" s="50">
        <f t="shared" ref="AK11:AK27" si="19">V11*0.22</f>
        <v>1290.0999999999999</v>
      </c>
      <c r="AL11" s="50">
        <f>865*0.029*C11</f>
        <v>175.6</v>
      </c>
      <c r="AM11" s="50">
        <f t="shared" si="11"/>
        <v>310.8</v>
      </c>
      <c r="AN11" s="50">
        <f t="shared" ref="AN11:AN27" si="20">SUM(AK11:AM11)</f>
        <v>1776.5</v>
      </c>
      <c r="AP11" s="51"/>
    </row>
    <row r="12" spans="1:42" ht="27" customHeight="1" x14ac:dyDescent="0.25">
      <c r="A12" s="278">
        <v>4</v>
      </c>
      <c r="B12" s="52" t="s">
        <v>134</v>
      </c>
      <c r="C12" s="278">
        <v>1</v>
      </c>
      <c r="D12" s="53">
        <v>11.061999999999999</v>
      </c>
      <c r="E12" s="46">
        <f t="shared" si="13"/>
        <v>11.06</v>
      </c>
      <c r="F12" s="47">
        <f t="shared" si="14"/>
        <v>132.69999999999999</v>
      </c>
      <c r="G12" s="24"/>
      <c r="H12" s="24">
        <f>1078.5/1000</f>
        <v>1.1000000000000001</v>
      </c>
      <c r="I12" s="24"/>
      <c r="J12" s="24"/>
      <c r="K12" s="24"/>
      <c r="L12" s="24">
        <f t="shared" si="12"/>
        <v>42.8</v>
      </c>
      <c r="M12" s="24">
        <f t="shared" si="0"/>
        <v>176.6</v>
      </c>
      <c r="N12" s="48">
        <v>0.43</v>
      </c>
      <c r="O12" s="24">
        <f t="shared" si="1"/>
        <v>75.900000000000006</v>
      </c>
      <c r="P12" s="24">
        <f t="shared" si="15"/>
        <v>252.5</v>
      </c>
      <c r="Q12" s="24">
        <f t="shared" si="16"/>
        <v>202</v>
      </c>
      <c r="R12" s="24">
        <f t="shared" si="2"/>
        <v>202</v>
      </c>
      <c r="S12" s="24">
        <f t="shared" si="17"/>
        <v>21</v>
      </c>
      <c r="T12" s="49">
        <f t="shared" si="3"/>
        <v>677.5</v>
      </c>
      <c r="U12" s="1532"/>
      <c r="V12" s="49">
        <f t="shared" si="18"/>
        <v>677.5</v>
      </c>
      <c r="W12" s="49">
        <f t="shared" ref="W12:W26" si="21">V12*0.302</f>
        <v>204.6</v>
      </c>
      <c r="X12" s="278"/>
      <c r="Y12" s="24">
        <v>30</v>
      </c>
      <c r="Z12" s="48">
        <f t="shared" si="4"/>
        <v>0</v>
      </c>
      <c r="AA12" s="278"/>
      <c r="AB12" s="24">
        <v>15</v>
      </c>
      <c r="AC12" s="48">
        <f t="shared" si="5"/>
        <v>0</v>
      </c>
      <c r="AD12" s="278"/>
      <c r="AE12" s="24">
        <v>30</v>
      </c>
      <c r="AF12" s="48">
        <f t="shared" si="6"/>
        <v>0</v>
      </c>
      <c r="AG12" s="48">
        <f>(Z12+AC12+AF12)*1%*30</f>
        <v>0</v>
      </c>
      <c r="AH12" s="48">
        <f t="shared" si="8"/>
        <v>0</v>
      </c>
      <c r="AI12" s="34">
        <f t="shared" si="9"/>
        <v>56458.3</v>
      </c>
      <c r="AJ12" s="34">
        <f t="shared" si="10"/>
        <v>677.5</v>
      </c>
      <c r="AK12" s="50">
        <f t="shared" si="19"/>
        <v>149.1</v>
      </c>
      <c r="AL12" s="50">
        <f t="shared" ref="AL12:AL27" si="22">912*0.029*C12</f>
        <v>26.4</v>
      </c>
      <c r="AM12" s="50">
        <f t="shared" si="11"/>
        <v>35.9</v>
      </c>
      <c r="AN12" s="50">
        <f t="shared" si="20"/>
        <v>211.4</v>
      </c>
      <c r="AP12" s="51"/>
    </row>
    <row r="13" spans="1:42" ht="27" customHeight="1" x14ac:dyDescent="0.25">
      <c r="A13" s="278">
        <v>5</v>
      </c>
      <c r="B13" s="52" t="s">
        <v>17</v>
      </c>
      <c r="C13" s="278">
        <v>1</v>
      </c>
      <c r="D13" s="53">
        <v>12.335000000000001</v>
      </c>
      <c r="E13" s="46">
        <f t="shared" si="13"/>
        <v>12.34</v>
      </c>
      <c r="F13" s="47">
        <f t="shared" si="14"/>
        <v>148.1</v>
      </c>
      <c r="G13" s="24"/>
      <c r="H13" s="24">
        <f>1202.6/1000</f>
        <v>1.2</v>
      </c>
      <c r="I13" s="24"/>
      <c r="J13" s="24"/>
      <c r="K13" s="24">
        <f>F13*0.4</f>
        <v>59.2</v>
      </c>
      <c r="L13" s="24">
        <f t="shared" si="12"/>
        <v>47.7</v>
      </c>
      <c r="M13" s="24">
        <f t="shared" si="0"/>
        <v>256.2</v>
      </c>
      <c r="N13" s="48">
        <v>0.47</v>
      </c>
      <c r="O13" s="24">
        <f t="shared" si="1"/>
        <v>120.4</v>
      </c>
      <c r="P13" s="24">
        <f t="shared" si="15"/>
        <v>376.6</v>
      </c>
      <c r="Q13" s="24">
        <f t="shared" si="16"/>
        <v>301.3</v>
      </c>
      <c r="R13" s="24">
        <f t="shared" si="2"/>
        <v>301.3</v>
      </c>
      <c r="S13" s="24">
        <f t="shared" si="17"/>
        <v>31.3</v>
      </c>
      <c r="T13" s="49">
        <f t="shared" si="3"/>
        <v>1010.5</v>
      </c>
      <c r="U13" s="1532"/>
      <c r="V13" s="49">
        <f t="shared" si="18"/>
        <v>1010.5</v>
      </c>
      <c r="W13" s="49">
        <f>AN13</f>
        <v>301</v>
      </c>
      <c r="X13" s="278">
        <v>1</v>
      </c>
      <c r="Y13" s="24">
        <v>30</v>
      </c>
      <c r="Z13" s="48">
        <f t="shared" si="4"/>
        <v>30</v>
      </c>
      <c r="AA13" s="278">
        <v>1</v>
      </c>
      <c r="AB13" s="24">
        <v>15</v>
      </c>
      <c r="AC13" s="48">
        <f t="shared" si="5"/>
        <v>15</v>
      </c>
      <c r="AD13" s="278">
        <v>1</v>
      </c>
      <c r="AE13" s="24">
        <v>30</v>
      </c>
      <c r="AF13" s="48">
        <f t="shared" si="6"/>
        <v>30</v>
      </c>
      <c r="AG13" s="48">
        <f t="shared" si="7"/>
        <v>22.5</v>
      </c>
      <c r="AH13" s="48">
        <f t="shared" si="8"/>
        <v>97.5</v>
      </c>
      <c r="AI13" s="34">
        <f t="shared" si="9"/>
        <v>84208.3</v>
      </c>
      <c r="AJ13" s="34">
        <f t="shared" si="10"/>
        <v>1010.5</v>
      </c>
      <c r="AK13" s="50">
        <f t="shared" si="19"/>
        <v>222.3</v>
      </c>
      <c r="AL13" s="50">
        <f>865*0.029*C13</f>
        <v>25.1</v>
      </c>
      <c r="AM13" s="50">
        <f t="shared" si="11"/>
        <v>53.6</v>
      </c>
      <c r="AN13" s="50">
        <f>SUM(AK13:AM13)</f>
        <v>301</v>
      </c>
      <c r="AP13" s="51"/>
    </row>
    <row r="14" spans="1:42" ht="34.5" customHeight="1" x14ac:dyDescent="0.25">
      <c r="A14" s="278">
        <v>6</v>
      </c>
      <c r="B14" s="52" t="s">
        <v>129</v>
      </c>
      <c r="C14" s="54">
        <v>1</v>
      </c>
      <c r="D14" s="53">
        <v>8.4730000000000008</v>
      </c>
      <c r="E14" s="46">
        <f>C14*D14</f>
        <v>8.4700000000000006</v>
      </c>
      <c r="F14" s="47">
        <f>E14*11</f>
        <v>93.2</v>
      </c>
      <c r="G14" s="24"/>
      <c r="H14" s="24">
        <f>826.1/1000</f>
        <v>0.8</v>
      </c>
      <c r="I14" s="24"/>
      <c r="J14" s="24"/>
      <c r="K14" s="24">
        <f>F14*0.2</f>
        <v>18.600000000000001</v>
      </c>
      <c r="L14" s="24">
        <f t="shared" si="12"/>
        <v>30</v>
      </c>
      <c r="M14" s="24">
        <f t="shared" si="0"/>
        <v>142.6</v>
      </c>
      <c r="N14" s="48">
        <v>0.41</v>
      </c>
      <c r="O14" s="24">
        <f t="shared" si="1"/>
        <v>58.5</v>
      </c>
      <c r="P14" s="24">
        <f t="shared" si="15"/>
        <v>201.1</v>
      </c>
      <c r="Q14" s="24">
        <f t="shared" si="16"/>
        <v>160.9</v>
      </c>
      <c r="R14" s="24">
        <f t="shared" si="2"/>
        <v>160.9</v>
      </c>
      <c r="S14" s="24">
        <f t="shared" si="17"/>
        <v>16.7</v>
      </c>
      <c r="T14" s="49">
        <f t="shared" si="3"/>
        <v>539.6</v>
      </c>
      <c r="U14" s="1532"/>
      <c r="V14" s="49">
        <f>T14*$U$9</f>
        <v>539.6</v>
      </c>
      <c r="W14" s="49">
        <f t="shared" si="21"/>
        <v>163</v>
      </c>
      <c r="X14" s="278">
        <v>1</v>
      </c>
      <c r="Y14" s="24">
        <v>30</v>
      </c>
      <c r="Z14" s="48">
        <f t="shared" si="4"/>
        <v>30</v>
      </c>
      <c r="AA14" s="278">
        <v>1</v>
      </c>
      <c r="AB14" s="24">
        <v>15</v>
      </c>
      <c r="AC14" s="48">
        <f t="shared" si="5"/>
        <v>15</v>
      </c>
      <c r="AD14" s="278">
        <v>1</v>
      </c>
      <c r="AE14" s="24">
        <v>30</v>
      </c>
      <c r="AF14" s="48">
        <f t="shared" si="6"/>
        <v>30</v>
      </c>
      <c r="AG14" s="48">
        <f t="shared" si="7"/>
        <v>22.5</v>
      </c>
      <c r="AH14" s="48">
        <f t="shared" si="8"/>
        <v>97.5</v>
      </c>
      <c r="AI14" s="34">
        <f t="shared" si="9"/>
        <v>44966.7</v>
      </c>
      <c r="AJ14" s="34">
        <f t="shared" si="10"/>
        <v>539.6</v>
      </c>
      <c r="AK14" s="50">
        <f t="shared" si="19"/>
        <v>118.7</v>
      </c>
      <c r="AL14" s="50">
        <f t="shared" si="22"/>
        <v>26.4</v>
      </c>
      <c r="AM14" s="50">
        <f t="shared" si="11"/>
        <v>28.6</v>
      </c>
      <c r="AN14" s="50">
        <f t="shared" si="20"/>
        <v>173.7</v>
      </c>
      <c r="AP14" s="51"/>
    </row>
    <row r="15" spans="1:42" ht="27" customHeight="1" x14ac:dyDescent="0.25">
      <c r="A15" s="278">
        <v>7</v>
      </c>
      <c r="B15" s="52" t="s">
        <v>22</v>
      </c>
      <c r="C15" s="278">
        <v>1</v>
      </c>
      <c r="D15" s="53">
        <v>11.061999999999999</v>
      </c>
      <c r="E15" s="46">
        <f>C15*D15</f>
        <v>11.06</v>
      </c>
      <c r="F15" s="47">
        <f>E15*12</f>
        <v>132.69999999999999</v>
      </c>
      <c r="G15" s="24"/>
      <c r="H15" s="24">
        <f>1078.5/1000</f>
        <v>1.1000000000000001</v>
      </c>
      <c r="I15" s="24"/>
      <c r="J15" s="24"/>
      <c r="K15" s="24">
        <f>F15*0.4</f>
        <v>53.1</v>
      </c>
      <c r="L15" s="24">
        <f t="shared" si="12"/>
        <v>42.8</v>
      </c>
      <c r="M15" s="24">
        <f>F15+G15+H15+I15+J15+K15+L15</f>
        <v>229.7</v>
      </c>
      <c r="N15" s="48">
        <v>0.43</v>
      </c>
      <c r="O15" s="24">
        <f>M15*N15</f>
        <v>98.8</v>
      </c>
      <c r="P15" s="24">
        <f>M15+O15</f>
        <v>328.5</v>
      </c>
      <c r="Q15" s="24">
        <f>P15*0.8</f>
        <v>262.8</v>
      </c>
      <c r="R15" s="24">
        <f>P15*0.8</f>
        <v>262.8</v>
      </c>
      <c r="S15" s="24">
        <f>(P15+Q15+R15)*0.032</f>
        <v>27.3</v>
      </c>
      <c r="T15" s="49">
        <f>P15+Q15+R15+S15</f>
        <v>881.4</v>
      </c>
      <c r="U15" s="1532"/>
      <c r="V15" s="49">
        <f>T15*$U$9</f>
        <v>881.4</v>
      </c>
      <c r="W15" s="49">
        <f>AN15</f>
        <v>265.7</v>
      </c>
      <c r="X15" s="278">
        <v>1</v>
      </c>
      <c r="Y15" s="24">
        <v>30</v>
      </c>
      <c r="Z15" s="48">
        <f>X15*Y15</f>
        <v>30</v>
      </c>
      <c r="AA15" s="278"/>
      <c r="AB15" s="24">
        <v>15</v>
      </c>
      <c r="AC15" s="48">
        <f>AA15*AB15</f>
        <v>0</v>
      </c>
      <c r="AD15" s="278"/>
      <c r="AE15" s="24">
        <v>30</v>
      </c>
      <c r="AF15" s="48">
        <f>AD15*AE15</f>
        <v>0</v>
      </c>
      <c r="AG15" s="48">
        <f>(Z15+AC15+AF15)*1%*30</f>
        <v>9</v>
      </c>
      <c r="AH15" s="48">
        <f>Z15+AC15+AF15+AG15</f>
        <v>39</v>
      </c>
      <c r="AI15" s="34">
        <f t="shared" si="9"/>
        <v>73450</v>
      </c>
      <c r="AJ15" s="34">
        <f t="shared" si="10"/>
        <v>881.4</v>
      </c>
      <c r="AK15" s="50">
        <f t="shared" si="19"/>
        <v>193.9</v>
      </c>
      <c r="AL15" s="50">
        <f>865*0.029*C15</f>
        <v>25.1</v>
      </c>
      <c r="AM15" s="50">
        <f t="shared" si="11"/>
        <v>46.7</v>
      </c>
      <c r="AN15" s="50">
        <f>SUM(AK15:AM15)</f>
        <v>265.7</v>
      </c>
      <c r="AP15" s="51"/>
    </row>
    <row r="16" spans="1:42" ht="27" customHeight="1" x14ac:dyDescent="0.25">
      <c r="A16" s="278">
        <v>8</v>
      </c>
      <c r="B16" s="52" t="s">
        <v>28</v>
      </c>
      <c r="C16" s="54">
        <v>5</v>
      </c>
      <c r="D16" s="53">
        <v>9.593</v>
      </c>
      <c r="E16" s="46">
        <f t="shared" si="13"/>
        <v>47.97</v>
      </c>
      <c r="F16" s="47">
        <f t="shared" si="14"/>
        <v>575.6</v>
      </c>
      <c r="G16" s="24"/>
      <c r="H16" s="24">
        <f>4.78</f>
        <v>4.8</v>
      </c>
      <c r="I16" s="24"/>
      <c r="J16" s="24"/>
      <c r="K16" s="24">
        <f>D16*0.2*2*12+D16*0.05*5.5+D16*0.2*7.5</f>
        <v>63.1</v>
      </c>
      <c r="L16" s="24">
        <f t="shared" si="12"/>
        <v>185.4</v>
      </c>
      <c r="M16" s="24">
        <f t="shared" si="0"/>
        <v>828.9</v>
      </c>
      <c r="N16" s="48">
        <v>0.43</v>
      </c>
      <c r="O16" s="24">
        <f t="shared" si="1"/>
        <v>356.4</v>
      </c>
      <c r="P16" s="24">
        <f t="shared" si="15"/>
        <v>1185.3</v>
      </c>
      <c r="Q16" s="24">
        <f t="shared" si="16"/>
        <v>948.2</v>
      </c>
      <c r="R16" s="24">
        <f t="shared" si="2"/>
        <v>948.2</v>
      </c>
      <c r="S16" s="24">
        <f t="shared" si="17"/>
        <v>98.6</v>
      </c>
      <c r="T16" s="49">
        <f t="shared" si="3"/>
        <v>3180.3</v>
      </c>
      <c r="U16" s="1532"/>
      <c r="V16" s="49">
        <f>T16*$U$9</f>
        <v>3180.3</v>
      </c>
      <c r="W16" s="49">
        <f t="shared" si="21"/>
        <v>960.5</v>
      </c>
      <c r="X16" s="278"/>
      <c r="Y16" s="24">
        <v>30</v>
      </c>
      <c r="Z16" s="48">
        <f t="shared" si="4"/>
        <v>0</v>
      </c>
      <c r="AA16" s="278"/>
      <c r="AB16" s="24">
        <v>15</v>
      </c>
      <c r="AC16" s="48">
        <f t="shared" si="5"/>
        <v>0</v>
      </c>
      <c r="AD16" s="278"/>
      <c r="AE16" s="24">
        <v>30</v>
      </c>
      <c r="AF16" s="48">
        <f t="shared" si="6"/>
        <v>0</v>
      </c>
      <c r="AG16" s="48">
        <f t="shared" si="7"/>
        <v>0</v>
      </c>
      <c r="AH16" s="48">
        <f t="shared" si="8"/>
        <v>0</v>
      </c>
      <c r="AI16" s="34">
        <f t="shared" si="9"/>
        <v>53005</v>
      </c>
      <c r="AJ16" s="34">
        <f t="shared" si="10"/>
        <v>636.1</v>
      </c>
      <c r="AK16" s="50">
        <f t="shared" si="19"/>
        <v>699.7</v>
      </c>
      <c r="AL16" s="50">
        <f t="shared" si="22"/>
        <v>132.19999999999999</v>
      </c>
      <c r="AM16" s="50">
        <f t="shared" si="11"/>
        <v>168.6</v>
      </c>
      <c r="AN16" s="50">
        <f t="shared" si="20"/>
        <v>1000.5</v>
      </c>
      <c r="AP16" s="51"/>
    </row>
    <row r="17" spans="1:42" ht="27" customHeight="1" x14ac:dyDescent="0.25">
      <c r="A17" s="278">
        <v>9</v>
      </c>
      <c r="B17" s="52" t="s">
        <v>24</v>
      </c>
      <c r="C17" s="54">
        <v>15</v>
      </c>
      <c r="D17" s="53">
        <v>8.5419999999999998</v>
      </c>
      <c r="E17" s="46">
        <f t="shared" si="13"/>
        <v>128.13</v>
      </c>
      <c r="F17" s="47">
        <f t="shared" si="14"/>
        <v>1537.6</v>
      </c>
      <c r="G17" s="24"/>
      <c r="H17" s="24">
        <f>14.25</f>
        <v>14.3</v>
      </c>
      <c r="I17" s="24"/>
      <c r="J17" s="24"/>
      <c r="K17" s="24">
        <f>D17*0.2*8*12+D17*0.25*12+D17*0.05*12+D17*0.3*12</f>
        <v>225.5</v>
      </c>
      <c r="L17" s="24">
        <f t="shared" si="12"/>
        <v>495.4</v>
      </c>
      <c r="M17" s="24">
        <f t="shared" si="0"/>
        <v>2272.8000000000002</v>
      </c>
      <c r="N17" s="48">
        <v>0.4</v>
      </c>
      <c r="O17" s="24">
        <f t="shared" si="1"/>
        <v>909.1</v>
      </c>
      <c r="P17" s="24">
        <f t="shared" si="15"/>
        <v>3181.9</v>
      </c>
      <c r="Q17" s="24">
        <f t="shared" si="16"/>
        <v>2545.5</v>
      </c>
      <c r="R17" s="24">
        <f t="shared" si="2"/>
        <v>2545.5</v>
      </c>
      <c r="S17" s="24">
        <f t="shared" si="17"/>
        <v>264.7</v>
      </c>
      <c r="T17" s="49">
        <f t="shared" si="3"/>
        <v>8537.6</v>
      </c>
      <c r="U17" s="1532"/>
      <c r="V17" s="49">
        <f t="shared" si="18"/>
        <v>8537.6</v>
      </c>
      <c r="W17" s="49">
        <f t="shared" si="21"/>
        <v>2578.4</v>
      </c>
      <c r="X17" s="278">
        <v>10</v>
      </c>
      <c r="Y17" s="24">
        <v>30</v>
      </c>
      <c r="Z17" s="48">
        <f t="shared" si="4"/>
        <v>300</v>
      </c>
      <c r="AA17" s="278">
        <v>3</v>
      </c>
      <c r="AB17" s="24">
        <v>15</v>
      </c>
      <c r="AC17" s="48">
        <f t="shared" si="5"/>
        <v>45</v>
      </c>
      <c r="AD17" s="278">
        <v>2</v>
      </c>
      <c r="AE17" s="24">
        <v>30</v>
      </c>
      <c r="AF17" s="48">
        <f t="shared" si="6"/>
        <v>60</v>
      </c>
      <c r="AG17" s="48">
        <f>(Z17+AC17+AF17)*1%*30</f>
        <v>121.5</v>
      </c>
      <c r="AH17" s="48">
        <f t="shared" si="8"/>
        <v>526.5</v>
      </c>
      <c r="AI17" s="34">
        <f t="shared" si="9"/>
        <v>47431.1</v>
      </c>
      <c r="AJ17" s="34">
        <f t="shared" si="10"/>
        <v>569.20000000000005</v>
      </c>
      <c r="AK17" s="50">
        <f t="shared" si="19"/>
        <v>1878.3</v>
      </c>
      <c r="AL17" s="50">
        <f t="shared" si="22"/>
        <v>396.7</v>
      </c>
      <c r="AM17" s="50">
        <f t="shared" si="11"/>
        <v>452.5</v>
      </c>
      <c r="AN17" s="50">
        <f t="shared" si="20"/>
        <v>2727.5</v>
      </c>
      <c r="AP17" s="51"/>
    </row>
    <row r="18" spans="1:42" ht="27" customHeight="1" x14ac:dyDescent="0.25">
      <c r="A18" s="278">
        <v>10</v>
      </c>
      <c r="B18" s="55" t="s">
        <v>26</v>
      </c>
      <c r="C18" s="56">
        <v>16</v>
      </c>
      <c r="D18" s="53">
        <v>4.3109999999999999</v>
      </c>
      <c r="E18" s="46">
        <f>C18*D18</f>
        <v>68.98</v>
      </c>
      <c r="F18" s="47">
        <f>E18*12</f>
        <v>827.8</v>
      </c>
      <c r="G18" s="24"/>
      <c r="H18" s="24">
        <f>27739.8/1000</f>
        <v>27.7</v>
      </c>
      <c r="I18" s="24"/>
      <c r="J18" s="24"/>
      <c r="K18" s="24"/>
      <c r="L18" s="24">
        <v>390</v>
      </c>
      <c r="M18" s="24">
        <f>F18+G18+H18+I18+J18+K18+L18</f>
        <v>1245.5</v>
      </c>
      <c r="N18" s="48">
        <v>0.75</v>
      </c>
      <c r="O18" s="24">
        <f>M18*N18</f>
        <v>934.1</v>
      </c>
      <c r="P18" s="24">
        <f>M18+O18</f>
        <v>2179.6</v>
      </c>
      <c r="Q18" s="24">
        <f>P18*0.8</f>
        <v>1743.7</v>
      </c>
      <c r="R18" s="24">
        <f>P18*0.8</f>
        <v>1743.7</v>
      </c>
      <c r="S18" s="24">
        <f>(P18+Q18+R18)*0.032</f>
        <v>181.3</v>
      </c>
      <c r="T18" s="49">
        <f>P18+Q18+R18+S18</f>
        <v>5848.3</v>
      </c>
      <c r="U18" s="1532"/>
      <c r="V18" s="49">
        <f>T18*$U$9</f>
        <v>5848.3</v>
      </c>
      <c r="W18" s="49">
        <f t="shared" si="21"/>
        <v>1766.2</v>
      </c>
      <c r="X18" s="278">
        <v>7</v>
      </c>
      <c r="Y18" s="24">
        <v>30</v>
      </c>
      <c r="Z18" s="48">
        <f>X18*Y18</f>
        <v>210</v>
      </c>
      <c r="AA18" s="278">
        <v>2</v>
      </c>
      <c r="AB18" s="24">
        <v>15</v>
      </c>
      <c r="AC18" s="48">
        <f>AA18*AB18</f>
        <v>30</v>
      </c>
      <c r="AD18" s="278">
        <v>1</v>
      </c>
      <c r="AE18" s="24">
        <v>30</v>
      </c>
      <c r="AF18" s="48">
        <f>AD18*AE18</f>
        <v>30</v>
      </c>
      <c r="AG18" s="48">
        <f>(Z18+AC18+AF18)*1%*30</f>
        <v>81</v>
      </c>
      <c r="AH18" s="48">
        <f>Z18+AC18+AF18+AG18</f>
        <v>351</v>
      </c>
      <c r="AI18" s="34">
        <f t="shared" si="9"/>
        <v>30459.9</v>
      </c>
      <c r="AJ18" s="34">
        <f t="shared" si="10"/>
        <v>365.5</v>
      </c>
      <c r="AK18" s="50">
        <f t="shared" si="19"/>
        <v>1286.5999999999999</v>
      </c>
      <c r="AL18" s="50">
        <f t="shared" si="22"/>
        <v>423.2</v>
      </c>
      <c r="AM18" s="50">
        <f t="shared" si="11"/>
        <v>310</v>
      </c>
      <c r="AN18" s="50">
        <f t="shared" si="20"/>
        <v>2019.8</v>
      </c>
      <c r="AP18" s="51"/>
    </row>
    <row r="19" spans="1:42" ht="27" customHeight="1" x14ac:dyDescent="0.25">
      <c r="A19" s="278">
        <v>11</v>
      </c>
      <c r="B19" s="55" t="s">
        <v>50</v>
      </c>
      <c r="C19" s="57">
        <v>2</v>
      </c>
      <c r="D19" s="53">
        <v>8.4730000000000008</v>
      </c>
      <c r="E19" s="46">
        <f t="shared" si="13"/>
        <v>16.95</v>
      </c>
      <c r="F19" s="47">
        <f t="shared" si="14"/>
        <v>203.4</v>
      </c>
      <c r="G19" s="24"/>
      <c r="H19" s="24">
        <f>1652.1/1000</f>
        <v>1.7</v>
      </c>
      <c r="I19" s="24"/>
      <c r="J19" s="24"/>
      <c r="K19" s="24">
        <f>D19*0.25*12+D19*0.2*12</f>
        <v>45.8</v>
      </c>
      <c r="L19" s="24">
        <f t="shared" si="12"/>
        <v>65.5</v>
      </c>
      <c r="M19" s="24">
        <f t="shared" si="0"/>
        <v>316.39999999999998</v>
      </c>
      <c r="N19" s="48">
        <v>0.41</v>
      </c>
      <c r="O19" s="24">
        <f t="shared" si="1"/>
        <v>129.69999999999999</v>
      </c>
      <c r="P19" s="24">
        <f t="shared" si="15"/>
        <v>446.1</v>
      </c>
      <c r="Q19" s="24">
        <f t="shared" si="16"/>
        <v>356.9</v>
      </c>
      <c r="R19" s="24">
        <f t="shared" si="2"/>
        <v>356.9</v>
      </c>
      <c r="S19" s="24">
        <f t="shared" si="17"/>
        <v>37.1</v>
      </c>
      <c r="T19" s="49">
        <f t="shared" si="3"/>
        <v>1197</v>
      </c>
      <c r="U19" s="1532"/>
      <c r="V19" s="49">
        <f t="shared" si="18"/>
        <v>1197</v>
      </c>
      <c r="W19" s="49">
        <f t="shared" si="21"/>
        <v>361.5</v>
      </c>
      <c r="X19" s="278">
        <v>2</v>
      </c>
      <c r="Y19" s="24">
        <v>30</v>
      </c>
      <c r="Z19" s="48">
        <f t="shared" si="4"/>
        <v>60</v>
      </c>
      <c r="AA19" s="278"/>
      <c r="AB19" s="24">
        <v>15</v>
      </c>
      <c r="AC19" s="48">
        <f t="shared" si="5"/>
        <v>0</v>
      </c>
      <c r="AD19" s="278"/>
      <c r="AE19" s="24">
        <v>30</v>
      </c>
      <c r="AF19" s="48">
        <f t="shared" si="6"/>
        <v>0</v>
      </c>
      <c r="AG19" s="48">
        <f t="shared" si="7"/>
        <v>18</v>
      </c>
      <c r="AH19" s="48">
        <f t="shared" si="8"/>
        <v>78</v>
      </c>
      <c r="AI19" s="34">
        <f t="shared" si="9"/>
        <v>49875</v>
      </c>
      <c r="AJ19" s="34">
        <f t="shared" si="10"/>
        <v>598.5</v>
      </c>
      <c r="AK19" s="50">
        <f t="shared" si="19"/>
        <v>263.3</v>
      </c>
      <c r="AL19" s="50">
        <f t="shared" si="22"/>
        <v>52.9</v>
      </c>
      <c r="AM19" s="50">
        <f t="shared" si="11"/>
        <v>63.4</v>
      </c>
      <c r="AN19" s="50">
        <f t="shared" si="20"/>
        <v>379.6</v>
      </c>
      <c r="AP19" s="51"/>
    </row>
    <row r="20" spans="1:42" ht="27" customHeight="1" x14ac:dyDescent="0.25">
      <c r="A20" s="278">
        <v>12</v>
      </c>
      <c r="B20" s="52" t="s">
        <v>18</v>
      </c>
      <c r="C20" s="47">
        <v>1</v>
      </c>
      <c r="D20" s="53">
        <v>8.4730000000000008</v>
      </c>
      <c r="E20" s="46">
        <f t="shared" si="13"/>
        <v>8.4700000000000006</v>
      </c>
      <c r="F20" s="47">
        <f t="shared" si="14"/>
        <v>101.6</v>
      </c>
      <c r="G20" s="24"/>
      <c r="H20" s="24">
        <f>826.1/1000</f>
        <v>0.8</v>
      </c>
      <c r="I20" s="24"/>
      <c r="J20" s="24"/>
      <c r="K20" s="24">
        <f>D20*0.35*12+D20*0.05*9</f>
        <v>39.4</v>
      </c>
      <c r="L20" s="24">
        <f t="shared" si="12"/>
        <v>32.700000000000003</v>
      </c>
      <c r="M20" s="24">
        <f t="shared" si="0"/>
        <v>174.5</v>
      </c>
      <c r="N20" s="48">
        <v>0.41</v>
      </c>
      <c r="O20" s="24">
        <f t="shared" si="1"/>
        <v>71.5</v>
      </c>
      <c r="P20" s="24">
        <f t="shared" si="15"/>
        <v>246</v>
      </c>
      <c r="Q20" s="24">
        <f t="shared" si="16"/>
        <v>196.8</v>
      </c>
      <c r="R20" s="24">
        <f t="shared" si="2"/>
        <v>196.8</v>
      </c>
      <c r="S20" s="24">
        <f t="shared" si="17"/>
        <v>20.5</v>
      </c>
      <c r="T20" s="49">
        <f t="shared" si="3"/>
        <v>660.1</v>
      </c>
      <c r="U20" s="1532"/>
      <c r="V20" s="49">
        <f t="shared" si="18"/>
        <v>660.1</v>
      </c>
      <c r="W20" s="49">
        <f t="shared" si="21"/>
        <v>199.4</v>
      </c>
      <c r="X20" s="278"/>
      <c r="Y20" s="24">
        <v>30</v>
      </c>
      <c r="Z20" s="48">
        <f t="shared" si="4"/>
        <v>0</v>
      </c>
      <c r="AA20" s="278"/>
      <c r="AB20" s="24">
        <v>15</v>
      </c>
      <c r="AC20" s="48">
        <f t="shared" si="5"/>
        <v>0</v>
      </c>
      <c r="AD20" s="278"/>
      <c r="AE20" s="24">
        <v>30</v>
      </c>
      <c r="AF20" s="48">
        <f t="shared" si="6"/>
        <v>0</v>
      </c>
      <c r="AG20" s="48">
        <f t="shared" si="7"/>
        <v>0</v>
      </c>
      <c r="AH20" s="48">
        <f t="shared" si="8"/>
        <v>0</v>
      </c>
      <c r="AI20" s="34">
        <f t="shared" si="9"/>
        <v>55008.3</v>
      </c>
      <c r="AJ20" s="34">
        <f t="shared" si="10"/>
        <v>660.1</v>
      </c>
      <c r="AK20" s="50">
        <f t="shared" si="19"/>
        <v>145.19999999999999</v>
      </c>
      <c r="AL20" s="50">
        <f t="shared" si="22"/>
        <v>26.4</v>
      </c>
      <c r="AM20" s="50">
        <f t="shared" si="11"/>
        <v>35</v>
      </c>
      <c r="AN20" s="50">
        <f t="shared" si="20"/>
        <v>206.6</v>
      </c>
      <c r="AP20" s="51"/>
    </row>
    <row r="21" spans="1:42" ht="27" customHeight="1" x14ac:dyDescent="0.25">
      <c r="A21" s="278">
        <v>13</v>
      </c>
      <c r="B21" s="52" t="s">
        <v>106</v>
      </c>
      <c r="C21" s="47">
        <v>1</v>
      </c>
      <c r="D21" s="53">
        <v>8.4730000000000008</v>
      </c>
      <c r="E21" s="46">
        <f t="shared" si="13"/>
        <v>8.4700000000000006</v>
      </c>
      <c r="F21" s="47">
        <f t="shared" si="14"/>
        <v>101.6</v>
      </c>
      <c r="G21" s="24"/>
      <c r="H21" s="24">
        <f>917.9/1000</f>
        <v>0.9</v>
      </c>
      <c r="I21" s="24"/>
      <c r="J21" s="24"/>
      <c r="K21" s="24"/>
      <c r="L21" s="24">
        <f t="shared" si="12"/>
        <v>32.700000000000003</v>
      </c>
      <c r="M21" s="24">
        <f t="shared" si="0"/>
        <v>135.19999999999999</v>
      </c>
      <c r="N21" s="48">
        <v>0.47</v>
      </c>
      <c r="O21" s="24">
        <f t="shared" si="1"/>
        <v>63.5</v>
      </c>
      <c r="P21" s="24">
        <f t="shared" si="15"/>
        <v>198.7</v>
      </c>
      <c r="Q21" s="24">
        <f t="shared" si="16"/>
        <v>159</v>
      </c>
      <c r="R21" s="24">
        <f t="shared" si="2"/>
        <v>159</v>
      </c>
      <c r="S21" s="24">
        <f t="shared" si="17"/>
        <v>16.5</v>
      </c>
      <c r="T21" s="49">
        <f t="shared" si="3"/>
        <v>533.20000000000005</v>
      </c>
      <c r="U21" s="1532"/>
      <c r="V21" s="49">
        <f t="shared" si="18"/>
        <v>533.20000000000005</v>
      </c>
      <c r="W21" s="49">
        <f t="shared" si="21"/>
        <v>161</v>
      </c>
      <c r="X21" s="278"/>
      <c r="Y21" s="24">
        <v>30</v>
      </c>
      <c r="Z21" s="48">
        <f t="shared" si="4"/>
        <v>0</v>
      </c>
      <c r="AA21" s="278"/>
      <c r="AB21" s="24">
        <v>15</v>
      </c>
      <c r="AC21" s="48">
        <f t="shared" si="5"/>
        <v>0</v>
      </c>
      <c r="AD21" s="278"/>
      <c r="AE21" s="24">
        <v>30</v>
      </c>
      <c r="AF21" s="48">
        <f t="shared" si="6"/>
        <v>0</v>
      </c>
      <c r="AG21" s="48">
        <f t="shared" si="7"/>
        <v>0</v>
      </c>
      <c r="AH21" s="48">
        <f t="shared" si="8"/>
        <v>0</v>
      </c>
      <c r="AI21" s="34">
        <f t="shared" si="9"/>
        <v>44433.3</v>
      </c>
      <c r="AJ21" s="34">
        <f t="shared" si="10"/>
        <v>533.20000000000005</v>
      </c>
      <c r="AK21" s="50">
        <f t="shared" si="19"/>
        <v>117.3</v>
      </c>
      <c r="AL21" s="50">
        <f t="shared" si="22"/>
        <v>26.4</v>
      </c>
      <c r="AM21" s="50">
        <f t="shared" si="11"/>
        <v>28.3</v>
      </c>
      <c r="AN21" s="50">
        <f t="shared" si="20"/>
        <v>172</v>
      </c>
      <c r="AP21" s="51"/>
    </row>
    <row r="22" spans="1:42" ht="23.25" customHeight="1" x14ac:dyDescent="0.25">
      <c r="A22" s="278">
        <v>14</v>
      </c>
      <c r="B22" s="52" t="s">
        <v>29</v>
      </c>
      <c r="C22" s="57">
        <v>1</v>
      </c>
      <c r="D22" s="53">
        <v>8.4730000000000008</v>
      </c>
      <c r="E22" s="46">
        <f>C22*D22</f>
        <v>8.4700000000000006</v>
      </c>
      <c r="F22" s="47">
        <f>E22*12</f>
        <v>101.6</v>
      </c>
      <c r="G22" s="24"/>
      <c r="H22" s="24">
        <f>1239.1/1000</f>
        <v>1.2</v>
      </c>
      <c r="I22" s="24"/>
      <c r="J22" s="24"/>
      <c r="K22" s="24">
        <f>D22*0.4*12</f>
        <v>40.700000000000003</v>
      </c>
      <c r="L22" s="24">
        <f t="shared" si="12"/>
        <v>32.700000000000003</v>
      </c>
      <c r="M22" s="24">
        <f>F22+G22+H22+I22+J22+K22+L22</f>
        <v>176.2</v>
      </c>
      <c r="N22" s="48">
        <v>0.41</v>
      </c>
      <c r="O22" s="24">
        <f t="shared" si="1"/>
        <v>72.2</v>
      </c>
      <c r="P22" s="24">
        <f t="shared" si="15"/>
        <v>248.4</v>
      </c>
      <c r="Q22" s="24">
        <f t="shared" si="16"/>
        <v>198.7</v>
      </c>
      <c r="R22" s="24">
        <f t="shared" si="2"/>
        <v>198.7</v>
      </c>
      <c r="S22" s="24">
        <f t="shared" si="17"/>
        <v>20.7</v>
      </c>
      <c r="T22" s="49">
        <f t="shared" si="3"/>
        <v>666.5</v>
      </c>
      <c r="U22" s="1532"/>
      <c r="V22" s="49">
        <f t="shared" si="18"/>
        <v>666.5</v>
      </c>
      <c r="W22" s="49">
        <f t="shared" si="21"/>
        <v>201.3</v>
      </c>
      <c r="X22" s="278">
        <v>2</v>
      </c>
      <c r="Y22" s="24">
        <v>30</v>
      </c>
      <c r="Z22" s="48">
        <f t="shared" si="4"/>
        <v>60</v>
      </c>
      <c r="AA22" s="278">
        <v>1</v>
      </c>
      <c r="AB22" s="24">
        <v>15</v>
      </c>
      <c r="AC22" s="48">
        <f t="shared" si="5"/>
        <v>15</v>
      </c>
      <c r="AD22" s="278"/>
      <c r="AE22" s="24">
        <v>30</v>
      </c>
      <c r="AF22" s="48">
        <f t="shared" si="6"/>
        <v>0</v>
      </c>
      <c r="AG22" s="48">
        <f t="shared" si="7"/>
        <v>22.5</v>
      </c>
      <c r="AH22" s="48">
        <f t="shared" si="8"/>
        <v>97.5</v>
      </c>
      <c r="AI22" s="34">
        <f t="shared" si="9"/>
        <v>55541.7</v>
      </c>
      <c r="AJ22" s="34">
        <f t="shared" si="10"/>
        <v>666.5</v>
      </c>
      <c r="AK22" s="50">
        <f t="shared" si="19"/>
        <v>146.6</v>
      </c>
      <c r="AL22" s="50">
        <f t="shared" si="22"/>
        <v>26.4</v>
      </c>
      <c r="AM22" s="50">
        <f t="shared" si="11"/>
        <v>35.299999999999997</v>
      </c>
      <c r="AN22" s="50">
        <f t="shared" si="20"/>
        <v>208.3</v>
      </c>
      <c r="AP22" s="51"/>
    </row>
    <row r="23" spans="1:42" ht="23.25" customHeight="1" x14ac:dyDescent="0.25">
      <c r="A23" s="278">
        <v>15</v>
      </c>
      <c r="B23" s="52" t="s">
        <v>20</v>
      </c>
      <c r="C23" s="47">
        <v>0.5</v>
      </c>
      <c r="D23" s="53">
        <v>8.4730000000000008</v>
      </c>
      <c r="E23" s="46">
        <f>C23*D23</f>
        <v>4.24</v>
      </c>
      <c r="F23" s="47">
        <f>E23*12</f>
        <v>50.9</v>
      </c>
      <c r="G23" s="24"/>
      <c r="H23" s="24"/>
      <c r="I23" s="24"/>
      <c r="J23" s="24"/>
      <c r="K23" s="24"/>
      <c r="L23" s="24">
        <f t="shared" si="12"/>
        <v>16.399999999999999</v>
      </c>
      <c r="M23" s="24">
        <f>F23+G23+H23+I23+J23+K23+L23</f>
        <v>67.3</v>
      </c>
      <c r="N23" s="48">
        <v>0.41</v>
      </c>
      <c r="O23" s="24">
        <f t="shared" si="1"/>
        <v>27.6</v>
      </c>
      <c r="P23" s="24">
        <f t="shared" si="15"/>
        <v>94.9</v>
      </c>
      <c r="Q23" s="24">
        <f t="shared" si="16"/>
        <v>75.900000000000006</v>
      </c>
      <c r="R23" s="24">
        <f t="shared" si="2"/>
        <v>75.900000000000006</v>
      </c>
      <c r="S23" s="24">
        <f t="shared" si="17"/>
        <v>7.9</v>
      </c>
      <c r="T23" s="49">
        <f t="shared" si="3"/>
        <v>254.6</v>
      </c>
      <c r="U23" s="1532"/>
      <c r="V23" s="49">
        <f t="shared" si="18"/>
        <v>254.6</v>
      </c>
      <c r="W23" s="49">
        <f t="shared" si="21"/>
        <v>76.900000000000006</v>
      </c>
      <c r="X23" s="278"/>
      <c r="Y23" s="24">
        <v>30</v>
      </c>
      <c r="Z23" s="48">
        <f t="shared" si="4"/>
        <v>0</v>
      </c>
      <c r="AA23" s="278"/>
      <c r="AB23" s="24">
        <v>15</v>
      </c>
      <c r="AC23" s="48">
        <f t="shared" si="5"/>
        <v>0</v>
      </c>
      <c r="AD23" s="278"/>
      <c r="AE23" s="24">
        <v>30</v>
      </c>
      <c r="AF23" s="48">
        <f t="shared" si="6"/>
        <v>0</v>
      </c>
      <c r="AG23" s="48">
        <f t="shared" si="7"/>
        <v>0</v>
      </c>
      <c r="AH23" s="48">
        <f t="shared" si="8"/>
        <v>0</v>
      </c>
      <c r="AI23" s="34">
        <f t="shared" si="9"/>
        <v>42433.3</v>
      </c>
      <c r="AJ23" s="34">
        <f t="shared" si="10"/>
        <v>509.2</v>
      </c>
      <c r="AK23" s="50">
        <f t="shared" si="19"/>
        <v>56</v>
      </c>
      <c r="AL23" s="50">
        <f t="shared" si="22"/>
        <v>13.2</v>
      </c>
      <c r="AM23" s="50">
        <f t="shared" si="11"/>
        <v>13.5</v>
      </c>
      <c r="AN23" s="50">
        <f t="shared" si="20"/>
        <v>82.7</v>
      </c>
      <c r="AP23" s="51"/>
    </row>
    <row r="24" spans="1:42" ht="23.25" customHeight="1" x14ac:dyDescent="0.25">
      <c r="A24" s="278">
        <v>16</v>
      </c>
      <c r="B24" s="52" t="s">
        <v>30</v>
      </c>
      <c r="C24" s="57">
        <v>2</v>
      </c>
      <c r="D24" s="53">
        <v>8.4730000000000008</v>
      </c>
      <c r="E24" s="46">
        <f>C24*D24</f>
        <v>16.95</v>
      </c>
      <c r="F24" s="47">
        <f>E24*12</f>
        <v>203.4</v>
      </c>
      <c r="G24" s="24"/>
      <c r="H24" s="24">
        <f>1652.1/1000</f>
        <v>1.7</v>
      </c>
      <c r="I24" s="24"/>
      <c r="J24" s="24"/>
      <c r="K24" s="24">
        <f>D24*0.3*12+D24*0.25*12+D24*0.05*1</f>
        <v>56.3</v>
      </c>
      <c r="L24" s="24">
        <f t="shared" si="12"/>
        <v>65.5</v>
      </c>
      <c r="M24" s="24">
        <f>F24+G24+H24+I24+J24+K24+L24</f>
        <v>326.89999999999998</v>
      </c>
      <c r="N24" s="48">
        <v>0.41</v>
      </c>
      <c r="O24" s="24">
        <f t="shared" si="1"/>
        <v>134</v>
      </c>
      <c r="P24" s="24">
        <f t="shared" si="15"/>
        <v>460.9</v>
      </c>
      <c r="Q24" s="24">
        <f t="shared" si="16"/>
        <v>368.7</v>
      </c>
      <c r="R24" s="24">
        <f t="shared" si="2"/>
        <v>368.7</v>
      </c>
      <c r="S24" s="24">
        <f t="shared" si="17"/>
        <v>38.299999999999997</v>
      </c>
      <c r="T24" s="49">
        <f t="shared" si="3"/>
        <v>1236.5999999999999</v>
      </c>
      <c r="U24" s="1532"/>
      <c r="V24" s="49">
        <f t="shared" si="18"/>
        <v>1236.5999999999999</v>
      </c>
      <c r="W24" s="49">
        <f t="shared" si="21"/>
        <v>373.5</v>
      </c>
      <c r="X24" s="278"/>
      <c r="Y24" s="24">
        <v>30</v>
      </c>
      <c r="Z24" s="48">
        <f t="shared" si="4"/>
        <v>0</v>
      </c>
      <c r="AA24" s="278"/>
      <c r="AB24" s="24">
        <v>15</v>
      </c>
      <c r="AC24" s="48">
        <f t="shared" si="5"/>
        <v>0</v>
      </c>
      <c r="AD24" s="278"/>
      <c r="AE24" s="24">
        <v>30</v>
      </c>
      <c r="AF24" s="48">
        <f t="shared" si="6"/>
        <v>0</v>
      </c>
      <c r="AG24" s="48">
        <f t="shared" si="7"/>
        <v>0</v>
      </c>
      <c r="AH24" s="48">
        <f t="shared" si="8"/>
        <v>0</v>
      </c>
      <c r="AI24" s="34">
        <f t="shared" si="9"/>
        <v>51525</v>
      </c>
      <c r="AJ24" s="34">
        <f t="shared" si="10"/>
        <v>618.29999999999995</v>
      </c>
      <c r="AK24" s="50">
        <f t="shared" si="19"/>
        <v>272.10000000000002</v>
      </c>
      <c r="AL24" s="50">
        <f t="shared" si="22"/>
        <v>52.9</v>
      </c>
      <c r="AM24" s="50">
        <f t="shared" si="11"/>
        <v>65.5</v>
      </c>
      <c r="AN24" s="50">
        <f t="shared" si="20"/>
        <v>390.5</v>
      </c>
      <c r="AP24" s="51"/>
    </row>
    <row r="25" spans="1:42" ht="27" customHeight="1" x14ac:dyDescent="0.25">
      <c r="A25" s="278">
        <v>17</v>
      </c>
      <c r="B25" s="52" t="s">
        <v>33</v>
      </c>
      <c r="C25" s="57">
        <v>1</v>
      </c>
      <c r="D25" s="53">
        <v>8.4730000000000008</v>
      </c>
      <c r="E25" s="46">
        <f t="shared" si="13"/>
        <v>8.4700000000000006</v>
      </c>
      <c r="F25" s="47">
        <f t="shared" si="14"/>
        <v>101.6</v>
      </c>
      <c r="G25" s="24"/>
      <c r="H25" s="24">
        <f>826.1/1000</f>
        <v>0.8</v>
      </c>
      <c r="I25" s="24"/>
      <c r="J25" s="24"/>
      <c r="K25" s="24">
        <f>F25*0.2</f>
        <v>20.3</v>
      </c>
      <c r="L25" s="24">
        <f t="shared" si="12"/>
        <v>32.700000000000003</v>
      </c>
      <c r="M25" s="24">
        <f>F25+G25+H25+I25+J25+K25+L25</f>
        <v>155.4</v>
      </c>
      <c r="N25" s="48">
        <v>0.41</v>
      </c>
      <c r="O25" s="24">
        <f t="shared" si="1"/>
        <v>63.7</v>
      </c>
      <c r="P25" s="24">
        <f t="shared" si="15"/>
        <v>219.1</v>
      </c>
      <c r="Q25" s="24">
        <f t="shared" si="16"/>
        <v>175.3</v>
      </c>
      <c r="R25" s="24">
        <f t="shared" si="2"/>
        <v>175.3</v>
      </c>
      <c r="S25" s="24">
        <f t="shared" si="17"/>
        <v>18.2</v>
      </c>
      <c r="T25" s="49">
        <f t="shared" si="3"/>
        <v>587.9</v>
      </c>
      <c r="U25" s="1532"/>
      <c r="V25" s="49">
        <f t="shared" si="18"/>
        <v>587.9</v>
      </c>
      <c r="W25" s="49">
        <f t="shared" si="21"/>
        <v>177.5</v>
      </c>
      <c r="X25" s="278"/>
      <c r="Y25" s="24">
        <v>30</v>
      </c>
      <c r="Z25" s="48">
        <f t="shared" si="4"/>
        <v>0</v>
      </c>
      <c r="AA25" s="278"/>
      <c r="AB25" s="24">
        <v>15</v>
      </c>
      <c r="AC25" s="48">
        <f t="shared" si="5"/>
        <v>0</v>
      </c>
      <c r="AD25" s="278"/>
      <c r="AE25" s="24">
        <v>30</v>
      </c>
      <c r="AF25" s="48">
        <f t="shared" si="6"/>
        <v>0</v>
      </c>
      <c r="AG25" s="48">
        <f t="shared" si="7"/>
        <v>0</v>
      </c>
      <c r="AH25" s="48">
        <f t="shared" si="8"/>
        <v>0</v>
      </c>
      <c r="AI25" s="34">
        <f t="shared" si="9"/>
        <v>48991.7</v>
      </c>
      <c r="AJ25" s="34">
        <f t="shared" si="10"/>
        <v>587.9</v>
      </c>
      <c r="AK25" s="50">
        <f t="shared" si="19"/>
        <v>129.30000000000001</v>
      </c>
      <c r="AL25" s="50">
        <f t="shared" si="22"/>
        <v>26.4</v>
      </c>
      <c r="AM25" s="50">
        <f t="shared" si="11"/>
        <v>31.2</v>
      </c>
      <c r="AN25" s="50">
        <f t="shared" si="20"/>
        <v>186.9</v>
      </c>
      <c r="AP25" s="51"/>
    </row>
    <row r="26" spans="1:42" ht="27" customHeight="1" x14ac:dyDescent="0.25">
      <c r="A26" s="278">
        <v>18</v>
      </c>
      <c r="B26" s="55" t="s">
        <v>92</v>
      </c>
      <c r="C26" s="56">
        <v>3</v>
      </c>
      <c r="D26" s="53">
        <v>4.3769999999999998</v>
      </c>
      <c r="E26" s="46">
        <f t="shared" si="13"/>
        <v>13.13</v>
      </c>
      <c r="F26" s="47">
        <f t="shared" si="14"/>
        <v>157.6</v>
      </c>
      <c r="G26" s="24"/>
      <c r="H26" s="24">
        <f>7681.2/1000</f>
        <v>7.7</v>
      </c>
      <c r="I26" s="24"/>
      <c r="J26" s="24"/>
      <c r="K26" s="24"/>
      <c r="L26" s="24">
        <v>105</v>
      </c>
      <c r="M26" s="24">
        <f t="shared" si="0"/>
        <v>270.3</v>
      </c>
      <c r="N26" s="48">
        <v>0.47</v>
      </c>
      <c r="O26" s="24">
        <f t="shared" si="1"/>
        <v>127</v>
      </c>
      <c r="P26" s="24">
        <f t="shared" si="15"/>
        <v>397.3</v>
      </c>
      <c r="Q26" s="24">
        <f t="shared" si="16"/>
        <v>317.8</v>
      </c>
      <c r="R26" s="24">
        <f t="shared" si="2"/>
        <v>317.8</v>
      </c>
      <c r="S26" s="24">
        <f t="shared" si="17"/>
        <v>33.1</v>
      </c>
      <c r="T26" s="49">
        <f t="shared" si="3"/>
        <v>1066</v>
      </c>
      <c r="U26" s="1532"/>
      <c r="V26" s="49">
        <f>T26*$U$9</f>
        <v>1066</v>
      </c>
      <c r="W26" s="49">
        <f t="shared" si="21"/>
        <v>321.89999999999998</v>
      </c>
      <c r="X26" s="278"/>
      <c r="Y26" s="24">
        <v>30</v>
      </c>
      <c r="Z26" s="48">
        <f>X26*Y26</f>
        <v>0</v>
      </c>
      <c r="AA26" s="278"/>
      <c r="AB26" s="24">
        <v>15</v>
      </c>
      <c r="AC26" s="48">
        <f>AA26*AB26</f>
        <v>0</v>
      </c>
      <c r="AD26" s="278"/>
      <c r="AE26" s="24">
        <v>30</v>
      </c>
      <c r="AF26" s="48">
        <f>AD26*AE26</f>
        <v>0</v>
      </c>
      <c r="AG26" s="48">
        <f>(Z26+AC26+AF26)*1%*30</f>
        <v>0</v>
      </c>
      <c r="AH26" s="48">
        <f>Z26+AC26+AF26+AG26</f>
        <v>0</v>
      </c>
      <c r="AI26" s="34">
        <f t="shared" si="9"/>
        <v>29611.1</v>
      </c>
      <c r="AJ26" s="34">
        <f t="shared" si="10"/>
        <v>355.3</v>
      </c>
      <c r="AK26" s="50">
        <f t="shared" si="19"/>
        <v>234.5</v>
      </c>
      <c r="AL26" s="50">
        <f t="shared" si="22"/>
        <v>79.3</v>
      </c>
      <c r="AM26" s="50">
        <f t="shared" si="11"/>
        <v>56.5</v>
      </c>
      <c r="AN26" s="50">
        <f t="shared" si="20"/>
        <v>370.3</v>
      </c>
      <c r="AP26" s="51"/>
    </row>
    <row r="27" spans="1:42" ht="27" customHeight="1" x14ac:dyDescent="0.25">
      <c r="A27" s="278">
        <v>19</v>
      </c>
      <c r="B27" s="44" t="s">
        <v>102</v>
      </c>
      <c r="C27" s="58">
        <v>2</v>
      </c>
      <c r="D27" s="53">
        <v>4.3769999999999998</v>
      </c>
      <c r="E27" s="46">
        <f t="shared" si="13"/>
        <v>8.75</v>
      </c>
      <c r="F27" s="47">
        <f t="shared" si="14"/>
        <v>105</v>
      </c>
      <c r="G27" s="24"/>
      <c r="H27" s="24">
        <f>948.3/1000</f>
        <v>0.9</v>
      </c>
      <c r="I27" s="24"/>
      <c r="J27" s="24"/>
      <c r="K27" s="24"/>
      <c r="L27" s="24">
        <v>72</v>
      </c>
      <c r="M27" s="24">
        <f t="shared" si="0"/>
        <v>177.9</v>
      </c>
      <c r="N27" s="48">
        <v>0.49</v>
      </c>
      <c r="O27" s="24">
        <f t="shared" si="1"/>
        <v>87.2</v>
      </c>
      <c r="P27" s="24">
        <f t="shared" si="15"/>
        <v>265.10000000000002</v>
      </c>
      <c r="Q27" s="24">
        <f t="shared" si="16"/>
        <v>212.1</v>
      </c>
      <c r="R27" s="24">
        <f t="shared" si="2"/>
        <v>212.1</v>
      </c>
      <c r="S27" s="24">
        <f t="shared" si="17"/>
        <v>22.1</v>
      </c>
      <c r="T27" s="49">
        <f t="shared" si="3"/>
        <v>711.4</v>
      </c>
      <c r="U27" s="1532"/>
      <c r="V27" s="49">
        <f>T27*$U$9-0.2</f>
        <v>711.2</v>
      </c>
      <c r="W27" s="49">
        <f>V27*0.302</f>
        <v>214.8</v>
      </c>
      <c r="X27" s="278"/>
      <c r="Y27" s="24">
        <v>30</v>
      </c>
      <c r="Z27" s="48">
        <f>X27*Y27</f>
        <v>0</v>
      </c>
      <c r="AA27" s="278"/>
      <c r="AB27" s="24">
        <v>15</v>
      </c>
      <c r="AC27" s="48">
        <f>AA27*AB27</f>
        <v>0</v>
      </c>
      <c r="AD27" s="278"/>
      <c r="AE27" s="24">
        <v>30</v>
      </c>
      <c r="AF27" s="48">
        <f>AD27*AE27</f>
        <v>0</v>
      </c>
      <c r="AG27" s="48">
        <f>(Z27+AC27+AF27)*1%*30</f>
        <v>0</v>
      </c>
      <c r="AH27" s="48">
        <f>Z27+AC27+AF27+AG27</f>
        <v>0</v>
      </c>
      <c r="AI27" s="34">
        <f t="shared" si="9"/>
        <v>29633.3</v>
      </c>
      <c r="AJ27" s="34">
        <f t="shared" si="10"/>
        <v>355.6</v>
      </c>
      <c r="AK27" s="50">
        <f t="shared" si="19"/>
        <v>156.5</v>
      </c>
      <c r="AL27" s="50">
        <f t="shared" si="22"/>
        <v>52.9</v>
      </c>
      <c r="AM27" s="50">
        <f t="shared" si="11"/>
        <v>37.700000000000003</v>
      </c>
      <c r="AN27" s="50">
        <f t="shared" si="20"/>
        <v>247.1</v>
      </c>
      <c r="AP27" s="51"/>
    </row>
    <row r="28" spans="1:42" s="62" customFormat="1" ht="20.25" customHeight="1" x14ac:dyDescent="0.25">
      <c r="A28" s="1542" t="s">
        <v>97</v>
      </c>
      <c r="B28" s="1543"/>
      <c r="C28" s="59">
        <f t="shared" ref="C28:AH28" si="23">SUM(C9:C27)</f>
        <v>64.5</v>
      </c>
      <c r="D28" s="25">
        <f t="shared" si="23"/>
        <v>181.9</v>
      </c>
      <c r="E28" s="25">
        <f t="shared" si="23"/>
        <v>527.5</v>
      </c>
      <c r="F28" s="25">
        <f t="shared" si="23"/>
        <v>6321.7</v>
      </c>
      <c r="G28" s="25">
        <f t="shared" si="23"/>
        <v>0</v>
      </c>
      <c r="H28" s="25">
        <f>SUM(H9:H27)</f>
        <v>74.400000000000006</v>
      </c>
      <c r="I28" s="25">
        <f t="shared" si="23"/>
        <v>0</v>
      </c>
      <c r="J28" s="25">
        <f t="shared" si="23"/>
        <v>0</v>
      </c>
      <c r="K28" s="25">
        <f t="shared" si="23"/>
        <v>1143.7</v>
      </c>
      <c r="L28" s="25">
        <f t="shared" si="23"/>
        <v>2252.1999999999998</v>
      </c>
      <c r="M28" s="25">
        <f t="shared" si="23"/>
        <v>9792</v>
      </c>
      <c r="N28" s="25">
        <f t="shared" si="23"/>
        <v>9.1999999999999993</v>
      </c>
      <c r="O28" s="25">
        <f t="shared" si="23"/>
        <v>4877.3</v>
      </c>
      <c r="P28" s="25">
        <f t="shared" si="23"/>
        <v>14669.3</v>
      </c>
      <c r="Q28" s="25">
        <f t="shared" si="23"/>
        <v>11735.5</v>
      </c>
      <c r="R28" s="25">
        <f t="shared" si="23"/>
        <v>11735.5</v>
      </c>
      <c r="S28" s="25">
        <f t="shared" si="23"/>
        <v>1220.3</v>
      </c>
      <c r="T28" s="25">
        <f t="shared" si="23"/>
        <v>39360.6</v>
      </c>
      <c r="U28" s="25">
        <f t="shared" si="23"/>
        <v>1</v>
      </c>
      <c r="V28" s="25">
        <f t="shared" si="23"/>
        <v>39360.400000000001</v>
      </c>
      <c r="W28" s="25">
        <f>SUM(W9:W27)</f>
        <v>11654.6</v>
      </c>
      <c r="X28" s="25">
        <f t="shared" si="23"/>
        <v>29</v>
      </c>
      <c r="Y28" s="25">
        <f t="shared" si="23"/>
        <v>570</v>
      </c>
      <c r="Z28" s="25">
        <f t="shared" si="23"/>
        <v>870</v>
      </c>
      <c r="AA28" s="25">
        <f t="shared" si="23"/>
        <v>12</v>
      </c>
      <c r="AB28" s="25">
        <f t="shared" si="23"/>
        <v>285</v>
      </c>
      <c r="AC28" s="25">
        <f t="shared" si="23"/>
        <v>180</v>
      </c>
      <c r="AD28" s="25">
        <f t="shared" si="23"/>
        <v>8</v>
      </c>
      <c r="AE28" s="25">
        <f t="shared" si="23"/>
        <v>570</v>
      </c>
      <c r="AF28" s="25">
        <f t="shared" si="23"/>
        <v>240</v>
      </c>
      <c r="AG28" s="25">
        <f t="shared" si="23"/>
        <v>387</v>
      </c>
      <c r="AH28" s="25">
        <f t="shared" si="23"/>
        <v>1677</v>
      </c>
      <c r="AI28" s="60"/>
      <c r="AJ28" s="61"/>
      <c r="AN28" s="60">
        <f>SUM(AN9:AN27)</f>
        <v>12276.5</v>
      </c>
    </row>
    <row r="29" spans="1:42" s="62" customFormat="1" ht="20.25" customHeight="1" x14ac:dyDescent="0.25">
      <c r="A29" s="63"/>
      <c r="B29" s="63"/>
      <c r="C29" s="26"/>
      <c r="D29" s="26"/>
      <c r="E29" s="26"/>
      <c r="F29" s="26"/>
      <c r="G29" s="26"/>
      <c r="H29" s="26"/>
      <c r="I29" s="26"/>
      <c r="J29" s="26"/>
      <c r="K29" s="26"/>
      <c r="L29" s="26"/>
      <c r="M29" s="26"/>
      <c r="N29" s="26"/>
      <c r="O29" s="26"/>
      <c r="P29" s="26"/>
      <c r="Q29" s="26"/>
      <c r="R29" s="26"/>
      <c r="S29" s="26"/>
      <c r="T29" s="26"/>
      <c r="U29" s="64"/>
      <c r="V29" s="65"/>
      <c r="W29" s="66"/>
      <c r="X29" s="65"/>
      <c r="Y29" s="65"/>
      <c r="Z29" s="65"/>
      <c r="AA29" s="65"/>
      <c r="AB29" s="65"/>
      <c r="AC29" s="65"/>
      <c r="AD29" s="65"/>
      <c r="AE29" s="65"/>
      <c r="AF29" s="65"/>
      <c r="AG29" s="65"/>
      <c r="AH29" s="65"/>
      <c r="AI29" s="67"/>
      <c r="AJ29" s="61"/>
    </row>
    <row r="30" spans="1:42" s="62" customFormat="1" ht="13.8" x14ac:dyDescent="0.25">
      <c r="A30" s="68"/>
      <c r="B30" s="63"/>
      <c r="C30" s="26"/>
      <c r="D30" s="26"/>
      <c r="E30" s="26"/>
      <c r="F30" s="26"/>
      <c r="G30" s="26"/>
      <c r="H30" s="26"/>
      <c r="I30" s="26"/>
      <c r="J30" s="26"/>
      <c r="K30" s="26"/>
      <c r="L30" s="26"/>
      <c r="M30" s="26"/>
      <c r="N30" s="26"/>
      <c r="O30" s="26"/>
      <c r="P30" s="26"/>
      <c r="Q30" s="26"/>
      <c r="R30" s="26"/>
      <c r="S30" s="26"/>
      <c r="T30" s="26"/>
      <c r="U30" s="64"/>
      <c r="V30" s="69"/>
      <c r="W30" s="69"/>
      <c r="X30" s="65"/>
      <c r="Y30" s="65"/>
      <c r="Z30" s="65"/>
      <c r="AA30" s="65"/>
      <c r="AB30" s="65"/>
      <c r="AC30" s="65"/>
      <c r="AD30" s="65"/>
      <c r="AE30" s="65"/>
      <c r="AF30" s="65"/>
      <c r="AG30" s="65"/>
      <c r="AH30" s="65"/>
      <c r="AI30" s="67"/>
      <c r="AJ30" s="61"/>
    </row>
    <row r="31" spans="1:42" s="75" customFormat="1" ht="13.8" x14ac:dyDescent="0.25">
      <c r="A31" s="70"/>
      <c r="B31" s="70"/>
      <c r="C31" s="71"/>
      <c r="D31" s="72"/>
      <c r="E31" s="72"/>
      <c r="F31" s="72"/>
      <c r="G31" s="72"/>
      <c r="H31" s="73"/>
      <c r="I31" s="73"/>
      <c r="J31" s="27"/>
      <c r="K31" s="27"/>
      <c r="L31" s="27"/>
      <c r="M31" s="27"/>
      <c r="N31" s="74"/>
      <c r="O31" s="27"/>
      <c r="P31" s="27"/>
      <c r="Q31" s="27"/>
      <c r="R31" s="27"/>
      <c r="S31" s="27"/>
      <c r="T31" s="27"/>
      <c r="U31" s="27"/>
      <c r="V31" s="27"/>
      <c r="W31" s="27"/>
      <c r="X31" s="27"/>
      <c r="Y31" s="27"/>
      <c r="Z31" s="27"/>
      <c r="AA31" s="27"/>
      <c r="AB31" s="27"/>
      <c r="AC31" s="27"/>
      <c r="AD31" s="27"/>
      <c r="AE31" s="27"/>
      <c r="AF31" s="27"/>
      <c r="AG31" s="27"/>
      <c r="AH31" s="27"/>
      <c r="AI31" s="27"/>
      <c r="AK31" s="76"/>
      <c r="AL31" s="76"/>
      <c r="AM31" s="76"/>
      <c r="AN31" s="76"/>
      <c r="AO31" s="76"/>
    </row>
    <row r="32" spans="1:42" s="75" customFormat="1" ht="39.75" customHeight="1" x14ac:dyDescent="0.25">
      <c r="A32" s="70"/>
      <c r="B32" s="70"/>
      <c r="C32" s="71"/>
      <c r="D32" s="77"/>
      <c r="E32" s="77"/>
      <c r="F32" s="27"/>
      <c r="G32" s="1545" t="s">
        <v>140</v>
      </c>
      <c r="H32" s="1545"/>
      <c r="I32" s="1540" t="s">
        <v>141</v>
      </c>
      <c r="J32" s="1541"/>
      <c r="K32" s="1540" t="s">
        <v>128</v>
      </c>
      <c r="L32" s="1541"/>
      <c r="M32" s="70"/>
      <c r="N32" s="70"/>
      <c r="O32" s="70"/>
      <c r="P32" s="70"/>
      <c r="Q32" s="27"/>
      <c r="R32" s="27"/>
      <c r="S32" s="27"/>
      <c r="T32" s="27"/>
      <c r="U32" s="27"/>
      <c r="V32" s="27"/>
      <c r="W32" s="27"/>
      <c r="X32" s="27"/>
      <c r="Y32" s="27"/>
      <c r="Z32" s="27"/>
      <c r="AA32" s="27"/>
      <c r="AB32" s="27"/>
      <c r="AC32" s="27"/>
      <c r="AD32" s="27"/>
      <c r="AE32" s="27"/>
      <c r="AF32" s="27"/>
      <c r="AG32" s="27"/>
      <c r="AH32" s="27"/>
      <c r="AI32" s="27"/>
      <c r="AK32" s="76"/>
      <c r="AL32" s="76"/>
      <c r="AM32" s="76"/>
      <c r="AN32" s="76"/>
      <c r="AO32" s="76"/>
    </row>
    <row r="33" spans="1:41" s="75" customFormat="1" ht="13.8" x14ac:dyDescent="0.25">
      <c r="A33" s="70"/>
      <c r="B33" s="70"/>
      <c r="C33" s="71"/>
      <c r="D33" s="77"/>
      <c r="E33" s="77"/>
      <c r="F33" s="27"/>
      <c r="G33" s="279">
        <v>991</v>
      </c>
      <c r="H33" s="279">
        <v>992</v>
      </c>
      <c r="I33" s="279">
        <v>991</v>
      </c>
      <c r="J33" s="279">
        <v>992</v>
      </c>
      <c r="K33" s="279">
        <v>991</v>
      </c>
      <c r="L33" s="279">
        <v>992</v>
      </c>
      <c r="M33" s="79"/>
      <c r="N33" s="79"/>
      <c r="O33" s="79"/>
      <c r="P33" s="79"/>
      <c r="Q33" s="27"/>
      <c r="R33" s="27"/>
      <c r="S33" s="27"/>
      <c r="T33" s="27"/>
      <c r="U33" s="27"/>
      <c r="V33" s="27"/>
      <c r="W33" s="27"/>
      <c r="X33" s="27"/>
      <c r="Y33" s="27"/>
      <c r="Z33" s="27"/>
      <c r="AA33" s="27"/>
      <c r="AB33" s="27"/>
      <c r="AC33" s="27"/>
      <c r="AD33" s="27"/>
      <c r="AE33" s="27"/>
      <c r="AF33" s="27"/>
      <c r="AG33" s="27"/>
      <c r="AH33" s="27"/>
      <c r="AI33" s="27"/>
      <c r="AK33" s="76"/>
      <c r="AL33" s="76"/>
      <c r="AM33" s="76"/>
      <c r="AN33" s="76"/>
      <c r="AO33" s="76"/>
    </row>
    <row r="34" spans="1:41" s="75" customFormat="1" ht="13.8" x14ac:dyDescent="0.25">
      <c r="A34" s="70"/>
      <c r="B34" s="70"/>
      <c r="C34" s="71"/>
      <c r="D34" s="77"/>
      <c r="E34" s="77"/>
      <c r="F34" s="27"/>
      <c r="G34" s="29">
        <v>39360.400000000001</v>
      </c>
      <c r="H34" s="29">
        <v>11661.7</v>
      </c>
      <c r="I34" s="29">
        <f>V28</f>
        <v>39360.400000000001</v>
      </c>
      <c r="J34" s="29">
        <f>W28</f>
        <v>11654.6</v>
      </c>
      <c r="K34" s="29">
        <f>G34-I34</f>
        <v>0</v>
      </c>
      <c r="L34" s="29">
        <f>H34-J34</f>
        <v>7.1</v>
      </c>
      <c r="M34" s="80"/>
      <c r="N34" s="80"/>
      <c r="O34" s="80"/>
      <c r="P34" s="80"/>
      <c r="Q34" s="27"/>
      <c r="R34" s="27"/>
      <c r="S34" s="27"/>
      <c r="T34" s="27"/>
      <c r="U34" s="27"/>
      <c r="V34" s="27"/>
      <c r="W34" s="27"/>
      <c r="X34" s="27"/>
      <c r="Y34" s="27"/>
      <c r="Z34" s="27"/>
      <c r="AA34" s="27"/>
      <c r="AB34" s="27"/>
      <c r="AC34" s="27"/>
      <c r="AD34" s="27"/>
      <c r="AE34" s="27"/>
      <c r="AF34" s="27"/>
      <c r="AG34" s="27"/>
      <c r="AH34" s="27"/>
      <c r="AI34" s="27"/>
      <c r="AK34" s="76"/>
      <c r="AL34" s="76"/>
      <c r="AM34" s="76"/>
      <c r="AN34" s="76"/>
      <c r="AO34" s="76"/>
    </row>
    <row r="35" spans="1:41" s="75" customFormat="1" ht="13.8" x14ac:dyDescent="0.25">
      <c r="A35" s="70"/>
      <c r="B35" s="70"/>
      <c r="C35" s="71"/>
      <c r="D35" s="77"/>
      <c r="E35" s="77"/>
      <c r="F35" s="27"/>
      <c r="G35" s="27"/>
      <c r="H35" s="73"/>
      <c r="I35" s="73"/>
      <c r="J35" s="27"/>
      <c r="K35" s="27"/>
      <c r="L35" s="27"/>
      <c r="M35" s="27"/>
      <c r="N35" s="74"/>
      <c r="O35" s="27"/>
      <c r="P35" s="27"/>
      <c r="Q35" s="27"/>
      <c r="R35" s="27"/>
      <c r="S35" s="27"/>
      <c r="T35" s="27"/>
      <c r="U35" s="27"/>
      <c r="V35" s="27"/>
      <c r="W35" s="27"/>
      <c r="X35" s="27"/>
      <c r="Y35" s="27"/>
      <c r="Z35" s="27"/>
      <c r="AA35" s="27"/>
      <c r="AB35" s="27"/>
      <c r="AC35" s="27"/>
      <c r="AD35" s="27"/>
      <c r="AE35" s="27"/>
      <c r="AF35" s="27"/>
      <c r="AG35" s="27"/>
      <c r="AH35" s="27"/>
      <c r="AI35" s="27"/>
      <c r="AK35" s="76"/>
      <c r="AL35" s="76"/>
      <c r="AM35" s="76"/>
      <c r="AN35" s="76"/>
      <c r="AO35" s="76"/>
    </row>
    <row r="36" spans="1:41" s="75" customFormat="1" ht="13.8" x14ac:dyDescent="0.25">
      <c r="A36" s="70"/>
      <c r="B36" s="70"/>
      <c r="C36" s="71"/>
      <c r="D36" s="77"/>
      <c r="E36" s="77"/>
      <c r="F36" s="27"/>
      <c r="G36" s="27"/>
      <c r="H36" s="73"/>
      <c r="I36" s="73"/>
      <c r="J36" s="27"/>
      <c r="K36" s="27"/>
      <c r="L36" s="27"/>
      <c r="M36" s="27"/>
      <c r="N36" s="74"/>
      <c r="O36" s="27"/>
      <c r="P36" s="27"/>
      <c r="Q36" s="27"/>
      <c r="R36" s="27"/>
      <c r="S36" s="27"/>
      <c r="T36" s="27"/>
      <c r="U36" s="27"/>
      <c r="V36" s="27"/>
      <c r="W36" s="27"/>
      <c r="X36" s="27"/>
      <c r="Y36" s="27"/>
      <c r="Z36" s="27"/>
      <c r="AA36" s="27"/>
      <c r="AB36" s="27"/>
      <c r="AC36" s="27"/>
      <c r="AD36" s="27"/>
      <c r="AE36" s="27"/>
      <c r="AF36" s="27"/>
      <c r="AG36" s="27"/>
      <c r="AH36" s="27"/>
      <c r="AI36" s="27"/>
      <c r="AK36" s="76"/>
      <c r="AL36" s="76"/>
      <c r="AM36" s="76"/>
      <c r="AN36" s="76"/>
      <c r="AO36" s="76"/>
    </row>
    <row r="37" spans="1:41" s="282" customFormat="1" ht="21" x14ac:dyDescent="0.25">
      <c r="A37" s="81"/>
      <c r="B37" s="82" t="s">
        <v>138</v>
      </c>
      <c r="C37" s="83"/>
      <c r="D37" s="84"/>
      <c r="E37" s="84"/>
      <c r="F37" s="85"/>
      <c r="G37" s="85"/>
      <c r="H37" s="86"/>
      <c r="I37" s="86"/>
      <c r="J37" s="85"/>
      <c r="K37" s="30" t="s">
        <v>166</v>
      </c>
      <c r="L37" s="85"/>
      <c r="M37" s="85"/>
      <c r="N37" s="87"/>
      <c r="O37" s="85"/>
      <c r="P37" s="85"/>
      <c r="Q37" s="85"/>
      <c r="R37" s="85"/>
      <c r="S37" s="85"/>
      <c r="T37" s="85"/>
      <c r="U37" s="85"/>
      <c r="V37" s="85"/>
      <c r="W37" s="85"/>
      <c r="X37" s="85"/>
      <c r="Y37" s="85"/>
      <c r="Z37" s="85"/>
      <c r="AA37" s="85"/>
      <c r="AB37" s="85"/>
      <c r="AC37" s="85"/>
      <c r="AD37" s="85"/>
      <c r="AE37" s="85"/>
      <c r="AF37" s="85"/>
      <c r="AG37" s="85"/>
      <c r="AH37" s="85"/>
      <c r="AI37" s="85"/>
      <c r="AK37" s="88"/>
      <c r="AL37" s="88"/>
      <c r="AM37" s="88"/>
      <c r="AN37" s="88"/>
      <c r="AO37" s="88"/>
    </row>
    <row r="38" spans="1:41" s="75" customFormat="1" ht="13.8" x14ac:dyDescent="0.25">
      <c r="A38" s="70"/>
      <c r="B38" s="70"/>
      <c r="C38" s="71"/>
      <c r="D38" s="77"/>
      <c r="E38" s="77"/>
      <c r="F38" s="27"/>
      <c r="G38" s="27"/>
      <c r="H38" s="73"/>
      <c r="I38" s="73"/>
      <c r="J38" s="27"/>
      <c r="K38" s="27"/>
      <c r="L38" s="27"/>
      <c r="M38" s="27"/>
      <c r="N38" s="74"/>
      <c r="O38" s="27"/>
      <c r="P38" s="27"/>
      <c r="Q38" s="27"/>
      <c r="R38" s="27"/>
      <c r="S38" s="27"/>
      <c r="T38" s="27"/>
      <c r="U38" s="27"/>
      <c r="V38" s="27"/>
      <c r="W38" s="27"/>
      <c r="X38" s="27"/>
      <c r="Y38" s="27"/>
      <c r="Z38" s="27"/>
      <c r="AA38" s="27"/>
      <c r="AB38" s="27"/>
      <c r="AC38" s="27"/>
      <c r="AD38" s="27"/>
      <c r="AE38" s="27"/>
      <c r="AF38" s="27"/>
      <c r="AG38" s="27"/>
      <c r="AH38" s="27"/>
      <c r="AI38" s="27"/>
      <c r="AK38" s="76"/>
      <c r="AL38" s="76"/>
      <c r="AM38" s="76"/>
      <c r="AN38" s="76"/>
      <c r="AO38" s="76"/>
    </row>
    <row r="39" spans="1:41" s="75" customFormat="1" ht="20.25" customHeight="1" x14ac:dyDescent="0.25">
      <c r="A39" s="89" t="s">
        <v>96</v>
      </c>
      <c r="B39" s="89"/>
      <c r="C39" s="31"/>
      <c r="D39" s="31"/>
      <c r="E39" s="31"/>
      <c r="F39" s="31"/>
      <c r="G39" s="31"/>
      <c r="H39" s="31"/>
      <c r="I39" s="31"/>
      <c r="J39" s="31"/>
      <c r="K39" s="31"/>
      <c r="L39" s="90"/>
      <c r="M39" s="90"/>
      <c r="N39" s="91"/>
      <c r="O39" s="90"/>
      <c r="P39" s="90"/>
      <c r="Q39" s="90"/>
      <c r="R39" s="90"/>
      <c r="S39" s="90"/>
      <c r="T39" s="90"/>
      <c r="U39" s="90"/>
      <c r="V39" s="90"/>
      <c r="W39" s="90"/>
      <c r="X39" s="90"/>
      <c r="Y39" s="90"/>
      <c r="Z39" s="90"/>
      <c r="AA39" s="90"/>
      <c r="AB39" s="90"/>
      <c r="AC39" s="90"/>
      <c r="AD39" s="90"/>
      <c r="AE39" s="90"/>
      <c r="AF39" s="90"/>
      <c r="AG39" s="90"/>
      <c r="AH39" s="90"/>
      <c r="AI39" s="90"/>
      <c r="AK39" s="76"/>
      <c r="AL39" s="76"/>
      <c r="AM39" s="76"/>
      <c r="AN39" s="76"/>
      <c r="AO39" s="76"/>
    </row>
    <row r="40" spans="1:41" s="75" customFormat="1" ht="20.25" customHeight="1" x14ac:dyDescent="0.25">
      <c r="A40" s="89" t="s">
        <v>139</v>
      </c>
      <c r="B40" s="92"/>
      <c r="C40" s="93"/>
      <c r="D40" s="93"/>
      <c r="E40" s="32"/>
      <c r="F40" s="32"/>
      <c r="G40" s="32"/>
      <c r="H40" s="32"/>
      <c r="I40" s="32"/>
      <c r="J40" s="32"/>
      <c r="K40" s="32"/>
      <c r="L40" s="90"/>
      <c r="M40" s="90"/>
      <c r="N40" s="90"/>
      <c r="O40" s="90"/>
      <c r="P40" s="90"/>
      <c r="Q40" s="90"/>
      <c r="R40" s="90"/>
      <c r="S40" s="90"/>
      <c r="T40" s="90"/>
      <c r="U40" s="90"/>
      <c r="V40" s="90"/>
      <c r="W40" s="90"/>
      <c r="X40" s="90"/>
      <c r="Y40" s="90"/>
      <c r="Z40" s="90"/>
      <c r="AA40" s="90"/>
      <c r="AB40" s="90"/>
      <c r="AC40" s="90"/>
      <c r="AD40" s="90"/>
      <c r="AE40" s="90"/>
      <c r="AF40" s="90"/>
      <c r="AG40" s="90"/>
      <c r="AH40" s="90"/>
      <c r="AI40" s="90"/>
      <c r="AK40" s="76"/>
      <c r="AL40" s="76"/>
      <c r="AM40" s="76"/>
      <c r="AN40" s="76"/>
      <c r="AO40" s="76"/>
    </row>
    <row r="41" spans="1:41" ht="15.6" x14ac:dyDescent="0.25">
      <c r="A41" s="1544"/>
      <c r="B41" s="1544"/>
      <c r="C41" s="1544"/>
    </row>
    <row r="43" spans="1:41" x14ac:dyDescent="0.25">
      <c r="E43" s="51"/>
    </row>
    <row r="44" spans="1:41" x14ac:dyDescent="0.25">
      <c r="E44" s="51"/>
    </row>
    <row r="45" spans="1:41" x14ac:dyDescent="0.25">
      <c r="E45" s="51"/>
    </row>
    <row r="46" spans="1:41" x14ac:dyDescent="0.25">
      <c r="E46" s="51"/>
    </row>
    <row r="47" spans="1:41" x14ac:dyDescent="0.25">
      <c r="E47" s="51"/>
    </row>
    <row r="48" spans="1:41" x14ac:dyDescent="0.25">
      <c r="E48" s="51"/>
    </row>
    <row r="49" spans="5:5" x14ac:dyDescent="0.25">
      <c r="E49" s="51"/>
    </row>
    <row r="50" spans="5:5" x14ac:dyDescent="0.25">
      <c r="E50" s="51"/>
    </row>
    <row r="51" spans="5:5" x14ac:dyDescent="0.25">
      <c r="E51" s="51"/>
    </row>
    <row r="52" spans="5:5" x14ac:dyDescent="0.25">
      <c r="E52" s="51"/>
    </row>
    <row r="53" spans="5:5" x14ac:dyDescent="0.25">
      <c r="E53" s="51"/>
    </row>
    <row r="54" spans="5:5" x14ac:dyDescent="0.25">
      <c r="E54" s="51"/>
    </row>
    <row r="55" spans="5:5" x14ac:dyDescent="0.25">
      <c r="E55" s="51"/>
    </row>
    <row r="56" spans="5:5" x14ac:dyDescent="0.25">
      <c r="E56" s="51"/>
    </row>
    <row r="57" spans="5:5" x14ac:dyDescent="0.25">
      <c r="E57" s="51"/>
    </row>
    <row r="58" spans="5:5" x14ac:dyDescent="0.25">
      <c r="E58" s="51"/>
    </row>
    <row r="59" spans="5:5" x14ac:dyDescent="0.25">
      <c r="E59" s="51"/>
    </row>
    <row r="60" spans="5:5" x14ac:dyDescent="0.25">
      <c r="E60" s="51"/>
    </row>
    <row r="61" spans="5:5" x14ac:dyDescent="0.25">
      <c r="E61" s="51"/>
    </row>
    <row r="62" spans="5:5" x14ac:dyDescent="0.25">
      <c r="E62" s="51"/>
    </row>
    <row r="63" spans="5:5" x14ac:dyDescent="0.25">
      <c r="E63" s="51"/>
    </row>
    <row r="64" spans="5:5" x14ac:dyDescent="0.25">
      <c r="E64" s="51"/>
    </row>
    <row r="65" spans="5:5" x14ac:dyDescent="0.25">
      <c r="E65" s="51"/>
    </row>
    <row r="66" spans="5:5" x14ac:dyDescent="0.25">
      <c r="E66" s="51"/>
    </row>
    <row r="67" spans="5:5" x14ac:dyDescent="0.25">
      <c r="E67" s="51"/>
    </row>
    <row r="68" spans="5:5" x14ac:dyDescent="0.25">
      <c r="E68" s="51"/>
    </row>
    <row r="69" spans="5:5" x14ac:dyDescent="0.25">
      <c r="E69" s="51"/>
    </row>
    <row r="70" spans="5:5" x14ac:dyDescent="0.25">
      <c r="E70" s="51"/>
    </row>
    <row r="71" spans="5:5" x14ac:dyDescent="0.25">
      <c r="E71" s="51"/>
    </row>
    <row r="72" spans="5:5" x14ac:dyDescent="0.25">
      <c r="E72" s="51"/>
    </row>
    <row r="73" spans="5:5" x14ac:dyDescent="0.25">
      <c r="E73" s="51"/>
    </row>
    <row r="74" spans="5:5" x14ac:dyDescent="0.25">
      <c r="E74" s="51"/>
    </row>
  </sheetData>
  <autoFilter ref="A8:AP30"/>
  <mergeCells count="38">
    <mergeCell ref="J6:J7"/>
    <mergeCell ref="K6:K7"/>
    <mergeCell ref="U9:U27"/>
    <mergeCell ref="A28:B28"/>
    <mergeCell ref="S6:S7"/>
    <mergeCell ref="T6:T7"/>
    <mergeCell ref="G32:H32"/>
    <mergeCell ref="I32:J32"/>
    <mergeCell ref="K32:L32"/>
    <mergeCell ref="A41:C41"/>
    <mergeCell ref="AA6:AC6"/>
    <mergeCell ref="R6:R7"/>
    <mergeCell ref="F6:F7"/>
    <mergeCell ref="G6:G7"/>
    <mergeCell ref="H6:H7"/>
    <mergeCell ref="I6:I7"/>
    <mergeCell ref="U6:U7"/>
    <mergeCell ref="L6:L7"/>
    <mergeCell ref="M6:M7"/>
    <mergeCell ref="N6:O6"/>
    <mergeCell ref="P6:P7"/>
    <mergeCell ref="Q6:Q7"/>
    <mergeCell ref="AE1:AH1"/>
    <mergeCell ref="A2:AH2"/>
    <mergeCell ref="A3:AH3"/>
    <mergeCell ref="A5:A7"/>
    <mergeCell ref="B5:B7"/>
    <mergeCell ref="C5:C7"/>
    <mergeCell ref="D5:W5"/>
    <mergeCell ref="X5:AH5"/>
    <mergeCell ref="D6:D7"/>
    <mergeCell ref="E6:E7"/>
    <mergeCell ref="AD6:AF6"/>
    <mergeCell ref="AG6:AG7"/>
    <mergeCell ref="AH6:AH7"/>
    <mergeCell ref="V6:V7"/>
    <mergeCell ref="W6:W7"/>
    <mergeCell ref="X6:Z6"/>
  </mergeCells>
  <printOptions horizontalCentered="1"/>
  <pageMargins left="0.25" right="0.25" top="0.75" bottom="0.75" header="0.3" footer="0.3"/>
  <pageSetup paperSize="9" scale="33"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P74"/>
  <sheetViews>
    <sheetView view="pageBreakPreview" zoomScale="80" zoomScaleNormal="80" zoomScaleSheetLayoutView="80" workbookViewId="0">
      <pane xSplit="3" ySplit="8" topLeftCell="O21"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2" x14ac:dyDescent="0.25"/>
  <cols>
    <col min="1" max="1" width="8" style="33" customWidth="1"/>
    <col min="2" max="2" width="30.77734375" style="22" customWidth="1"/>
    <col min="3" max="3" width="13.77734375" style="22" customWidth="1"/>
    <col min="4" max="4" width="13.109375" style="22" customWidth="1"/>
    <col min="5" max="5" width="13" style="22" customWidth="1"/>
    <col min="6" max="6" width="14.6640625" style="22" customWidth="1"/>
    <col min="7" max="7" width="13.109375" style="22" customWidth="1"/>
    <col min="8" max="8" width="15.6640625" style="22" customWidth="1"/>
    <col min="9" max="9" width="13.44140625" style="22" customWidth="1"/>
    <col min="10" max="10" width="20.33203125" style="22" customWidth="1"/>
    <col min="11" max="11" width="13" style="22" customWidth="1"/>
    <col min="12" max="16" width="14.77734375" style="22" customWidth="1"/>
    <col min="17" max="17" width="12.33203125" style="22" customWidth="1"/>
    <col min="18" max="18" width="13" style="22" customWidth="1"/>
    <col min="19" max="19" width="18.109375" style="22" customWidth="1"/>
    <col min="20" max="20" width="14.77734375" style="22" customWidth="1"/>
    <col min="21" max="21" width="14" style="22" customWidth="1"/>
    <col min="22" max="22" width="15.6640625" style="22" customWidth="1"/>
    <col min="23" max="23" width="14.44140625" style="22" customWidth="1"/>
    <col min="24" max="24" width="11.33203125" style="22" customWidth="1"/>
    <col min="25" max="25" width="11" style="22" customWidth="1"/>
    <col min="26" max="26" width="11.44140625" style="22" customWidth="1"/>
    <col min="27" max="28" width="9.33203125" style="22" customWidth="1"/>
    <col min="29" max="29" width="10.109375" style="22" customWidth="1"/>
    <col min="30" max="30" width="8.44140625" style="22" customWidth="1"/>
    <col min="31" max="31" width="10.77734375" style="22" customWidth="1"/>
    <col min="32" max="32" width="10.33203125" style="22" customWidth="1"/>
    <col min="33" max="33" width="11.44140625" style="22" customWidth="1"/>
    <col min="34" max="34" width="13.77734375" style="22" customWidth="1"/>
    <col min="35" max="35" width="12" style="34" customWidth="1"/>
    <col min="36" max="36" width="17.77734375" style="22" customWidth="1"/>
    <col min="37" max="37" width="14" style="22" bestFit="1" customWidth="1"/>
    <col min="38" max="39" width="9.44140625" style="22" bestFit="1" customWidth="1"/>
    <col min="40" max="40" width="11.44140625" style="22" bestFit="1" customWidth="1"/>
    <col min="41" max="41" width="9.33203125" style="22"/>
    <col min="42" max="42" width="9.44140625" style="22" bestFit="1" customWidth="1"/>
    <col min="43" max="16384" width="9.33203125" style="22"/>
  </cols>
  <sheetData>
    <row r="1" spans="1:42" ht="21.75" customHeight="1" x14ac:dyDescent="0.25">
      <c r="AE1" s="1534"/>
      <c r="AF1" s="1534"/>
      <c r="AG1" s="1534"/>
      <c r="AH1" s="1534"/>
    </row>
    <row r="2" spans="1:42" ht="33" customHeight="1" x14ac:dyDescent="0.25">
      <c r="A2" s="1535" t="s">
        <v>137</v>
      </c>
      <c r="B2" s="1535"/>
      <c r="C2" s="1535"/>
      <c r="D2" s="1535"/>
      <c r="E2" s="1535"/>
      <c r="F2" s="1535"/>
      <c r="G2" s="1535"/>
      <c r="H2" s="1535"/>
      <c r="I2" s="1535"/>
      <c r="J2" s="1535"/>
      <c r="K2" s="1535"/>
      <c r="L2" s="1535"/>
      <c r="M2" s="1535"/>
      <c r="N2" s="1535"/>
      <c r="O2" s="1535"/>
      <c r="P2" s="1535"/>
      <c r="Q2" s="1535"/>
      <c r="R2" s="1535"/>
      <c r="S2" s="1535"/>
      <c r="T2" s="1535"/>
      <c r="U2" s="1535"/>
      <c r="V2" s="1535"/>
      <c r="W2" s="1535"/>
      <c r="X2" s="1535"/>
      <c r="Y2" s="1535"/>
      <c r="Z2" s="1535"/>
      <c r="AA2" s="1535"/>
      <c r="AB2" s="1535"/>
      <c r="AC2" s="1535"/>
      <c r="AD2" s="1535"/>
      <c r="AE2" s="1535"/>
      <c r="AF2" s="1535"/>
      <c r="AG2" s="1535"/>
      <c r="AH2" s="1535"/>
      <c r="AI2" s="36"/>
    </row>
    <row r="3" spans="1:42" ht="24.75" customHeight="1" x14ac:dyDescent="0.25">
      <c r="A3" s="1536"/>
      <c r="B3" s="1536"/>
      <c r="C3" s="1536"/>
      <c r="D3" s="1536"/>
      <c r="E3" s="1536"/>
      <c r="F3" s="1536"/>
      <c r="G3" s="1536"/>
      <c r="H3" s="1536"/>
      <c r="I3" s="1536"/>
      <c r="J3" s="1536"/>
      <c r="K3" s="1536"/>
      <c r="L3" s="1536"/>
      <c r="M3" s="1536"/>
      <c r="N3" s="1536"/>
      <c r="O3" s="1536"/>
      <c r="P3" s="1536"/>
      <c r="Q3" s="1536"/>
      <c r="R3" s="1536"/>
      <c r="S3" s="1536"/>
      <c r="T3" s="1536"/>
      <c r="U3" s="1536"/>
      <c r="V3" s="1536"/>
      <c r="W3" s="1536"/>
      <c r="X3" s="1536"/>
      <c r="Y3" s="1536"/>
      <c r="Z3" s="1536"/>
      <c r="AA3" s="1536"/>
      <c r="AB3" s="1536"/>
      <c r="AC3" s="1536"/>
      <c r="AD3" s="1536"/>
      <c r="AE3" s="1536"/>
      <c r="AF3" s="1536"/>
      <c r="AG3" s="1536"/>
      <c r="AH3" s="1536"/>
      <c r="AI3" s="37"/>
    </row>
    <row r="4" spans="1:42" x14ac:dyDescent="0.25">
      <c r="L4" s="38">
        <v>0.32216</v>
      </c>
      <c r="O4" s="39"/>
      <c r="P4" s="39"/>
    </row>
    <row r="5" spans="1:42" ht="38.25" customHeight="1" x14ac:dyDescent="0.25">
      <c r="A5" s="1537" t="s">
        <v>78</v>
      </c>
      <c r="B5" s="1537" t="s">
        <v>77</v>
      </c>
      <c r="C5" s="1538" t="s">
        <v>0</v>
      </c>
      <c r="D5" s="1538" t="s">
        <v>3</v>
      </c>
      <c r="E5" s="1538"/>
      <c r="F5" s="1538"/>
      <c r="G5" s="1538"/>
      <c r="H5" s="1538"/>
      <c r="I5" s="1538"/>
      <c r="J5" s="1538"/>
      <c r="K5" s="1538"/>
      <c r="L5" s="1538"/>
      <c r="M5" s="1538"/>
      <c r="N5" s="1538"/>
      <c r="O5" s="1538"/>
      <c r="P5" s="1538"/>
      <c r="Q5" s="1538"/>
      <c r="R5" s="1538"/>
      <c r="S5" s="1538"/>
      <c r="T5" s="1538"/>
      <c r="U5" s="1538"/>
      <c r="V5" s="1538"/>
      <c r="W5" s="1538"/>
      <c r="X5" s="1538" t="s">
        <v>4</v>
      </c>
      <c r="Y5" s="1538"/>
      <c r="Z5" s="1538"/>
      <c r="AA5" s="1538"/>
      <c r="AB5" s="1538"/>
      <c r="AC5" s="1538"/>
      <c r="AD5" s="1538"/>
      <c r="AE5" s="1538"/>
      <c r="AF5" s="1538"/>
      <c r="AG5" s="1538"/>
      <c r="AH5" s="1538"/>
    </row>
    <row r="6" spans="1:42" ht="60" customHeight="1" x14ac:dyDescent="0.25">
      <c r="A6" s="1537"/>
      <c r="B6" s="1537"/>
      <c r="C6" s="1538"/>
      <c r="D6" s="1530" t="s">
        <v>79</v>
      </c>
      <c r="E6" s="1530" t="s">
        <v>69</v>
      </c>
      <c r="F6" s="1530" t="s">
        <v>89</v>
      </c>
      <c r="G6" s="1530" t="s">
        <v>1</v>
      </c>
      <c r="H6" s="1530" t="s">
        <v>2</v>
      </c>
      <c r="I6" s="1530" t="s">
        <v>70</v>
      </c>
      <c r="J6" s="1530" t="s">
        <v>61</v>
      </c>
      <c r="K6" s="1530" t="s">
        <v>27</v>
      </c>
      <c r="L6" s="1533" t="s">
        <v>65</v>
      </c>
      <c r="M6" s="1533" t="s">
        <v>86</v>
      </c>
      <c r="N6" s="1539" t="s">
        <v>90</v>
      </c>
      <c r="O6" s="1539"/>
      <c r="P6" s="1539" t="s">
        <v>88</v>
      </c>
      <c r="Q6" s="1533" t="s">
        <v>82</v>
      </c>
      <c r="R6" s="1530" t="s">
        <v>83</v>
      </c>
      <c r="S6" s="1533" t="s">
        <v>87</v>
      </c>
      <c r="T6" s="1530" t="s">
        <v>84</v>
      </c>
      <c r="U6" s="1530" t="s">
        <v>9</v>
      </c>
      <c r="V6" s="1530" t="s">
        <v>7</v>
      </c>
      <c r="W6" s="1530" t="s">
        <v>85</v>
      </c>
      <c r="X6" s="1538" t="s">
        <v>10</v>
      </c>
      <c r="Y6" s="1538"/>
      <c r="Z6" s="1538"/>
      <c r="AA6" s="1538" t="s">
        <v>11</v>
      </c>
      <c r="AB6" s="1538"/>
      <c r="AC6" s="1538"/>
      <c r="AD6" s="1538" t="s">
        <v>12</v>
      </c>
      <c r="AE6" s="1538"/>
      <c r="AF6" s="1538"/>
      <c r="AG6" s="1538" t="s">
        <v>13</v>
      </c>
      <c r="AH6" s="1538" t="s">
        <v>73</v>
      </c>
    </row>
    <row r="7" spans="1:42" ht="57" customHeight="1" x14ac:dyDescent="0.25">
      <c r="A7" s="1537"/>
      <c r="B7" s="1537"/>
      <c r="C7" s="1538"/>
      <c r="D7" s="1530"/>
      <c r="E7" s="1530"/>
      <c r="F7" s="1530"/>
      <c r="G7" s="1530"/>
      <c r="H7" s="1530"/>
      <c r="I7" s="1530"/>
      <c r="J7" s="1530"/>
      <c r="K7" s="1530"/>
      <c r="L7" s="1533" t="s">
        <v>66</v>
      </c>
      <c r="M7" s="1533"/>
      <c r="N7" s="41" t="s">
        <v>80</v>
      </c>
      <c r="O7" s="41" t="s">
        <v>81</v>
      </c>
      <c r="P7" s="1539"/>
      <c r="Q7" s="1533"/>
      <c r="R7" s="1530"/>
      <c r="S7" s="1533" t="s">
        <v>67</v>
      </c>
      <c r="T7" s="1530"/>
      <c r="U7" s="1530"/>
      <c r="V7" s="1530"/>
      <c r="W7" s="1530"/>
      <c r="X7" s="42" t="s">
        <v>5</v>
      </c>
      <c r="Y7" s="42" t="s">
        <v>6</v>
      </c>
      <c r="Z7" s="42" t="s">
        <v>74</v>
      </c>
      <c r="AA7" s="42" t="s">
        <v>5</v>
      </c>
      <c r="AB7" s="42" t="s">
        <v>6</v>
      </c>
      <c r="AC7" s="42" t="s">
        <v>75</v>
      </c>
      <c r="AD7" s="42" t="s">
        <v>5</v>
      </c>
      <c r="AE7" s="42" t="s">
        <v>6</v>
      </c>
      <c r="AF7" s="42" t="s">
        <v>76</v>
      </c>
      <c r="AG7" s="1538"/>
      <c r="AH7" s="1538"/>
      <c r="AJ7" s="33" t="s">
        <v>64</v>
      </c>
    </row>
    <row r="8" spans="1:42" ht="12.75" customHeight="1" x14ac:dyDescent="0.25">
      <c r="A8" s="23">
        <v>1</v>
      </c>
      <c r="B8" s="23">
        <v>2</v>
      </c>
      <c r="C8" s="23">
        <v>3</v>
      </c>
      <c r="D8" s="23">
        <v>4</v>
      </c>
      <c r="E8" s="23">
        <v>5</v>
      </c>
      <c r="F8" s="23">
        <v>6</v>
      </c>
      <c r="G8" s="23">
        <v>7</v>
      </c>
      <c r="H8" s="23">
        <v>8</v>
      </c>
      <c r="I8" s="23">
        <v>9</v>
      </c>
      <c r="J8" s="23">
        <v>10</v>
      </c>
      <c r="K8" s="23">
        <v>11</v>
      </c>
      <c r="L8" s="23">
        <v>12</v>
      </c>
      <c r="M8" s="23">
        <v>13</v>
      </c>
      <c r="N8" s="23">
        <v>14</v>
      </c>
      <c r="O8" s="23">
        <v>15</v>
      </c>
      <c r="P8" s="23">
        <v>16</v>
      </c>
      <c r="Q8" s="23">
        <v>17</v>
      </c>
      <c r="R8" s="23">
        <v>18</v>
      </c>
      <c r="S8" s="23">
        <v>19</v>
      </c>
      <c r="T8" s="23">
        <v>20</v>
      </c>
      <c r="U8" s="23">
        <v>21</v>
      </c>
      <c r="V8" s="23">
        <v>22</v>
      </c>
      <c r="W8" s="23">
        <v>23</v>
      </c>
      <c r="X8" s="23">
        <v>24</v>
      </c>
      <c r="Y8" s="23">
        <v>25</v>
      </c>
      <c r="Z8" s="23">
        <v>26</v>
      </c>
      <c r="AA8" s="23">
        <v>27</v>
      </c>
      <c r="AB8" s="23">
        <v>28</v>
      </c>
      <c r="AC8" s="23">
        <v>29</v>
      </c>
      <c r="AD8" s="23">
        <v>30</v>
      </c>
      <c r="AE8" s="23">
        <v>31</v>
      </c>
      <c r="AF8" s="23">
        <v>32</v>
      </c>
      <c r="AG8" s="23">
        <v>33</v>
      </c>
      <c r="AH8" s="23">
        <v>34</v>
      </c>
      <c r="AK8" s="43" t="s">
        <v>116</v>
      </c>
      <c r="AL8" s="43" t="s">
        <v>117</v>
      </c>
      <c r="AM8" s="43" t="s">
        <v>118</v>
      </c>
      <c r="AN8" s="43" t="s">
        <v>119</v>
      </c>
    </row>
    <row r="9" spans="1:42" ht="27" customHeight="1" x14ac:dyDescent="0.25">
      <c r="A9" s="23">
        <v>1</v>
      </c>
      <c r="B9" s="44" t="s">
        <v>21</v>
      </c>
      <c r="C9" s="23">
        <v>1</v>
      </c>
      <c r="D9" s="45">
        <v>21.991</v>
      </c>
      <c r="E9" s="46">
        <f>C9*D9</f>
        <v>21.99</v>
      </c>
      <c r="F9" s="47">
        <f>E9*12</f>
        <v>263.89999999999998</v>
      </c>
      <c r="G9" s="24"/>
      <c r="H9" s="24"/>
      <c r="I9" s="24"/>
      <c r="J9" s="24"/>
      <c r="K9" s="24">
        <f>D9*0.3*12+0.05*9</f>
        <v>79.599999999999994</v>
      </c>
      <c r="L9" s="24">
        <f>F9*$L$4</f>
        <v>85</v>
      </c>
      <c r="M9" s="24">
        <f t="shared" ref="M9:M27" si="0">F9+G9+H9+I9+J9+K9+L9</f>
        <v>428.5</v>
      </c>
      <c r="N9" s="48">
        <v>1.1100000000000001</v>
      </c>
      <c r="O9" s="24">
        <f t="shared" ref="O9:O27" si="1">M9*N9</f>
        <v>475.6</v>
      </c>
      <c r="P9" s="24">
        <f>M9+O9</f>
        <v>904.1</v>
      </c>
      <c r="Q9" s="24">
        <f>P9*0.8</f>
        <v>723.3</v>
      </c>
      <c r="R9" s="24">
        <f t="shared" ref="R9:R27" si="2">P9*0.8</f>
        <v>723.3</v>
      </c>
      <c r="S9" s="24">
        <f>(P9+Q9+R9)*0.032</f>
        <v>75.2</v>
      </c>
      <c r="T9" s="49">
        <f t="shared" ref="T9:T27" si="3">P9+Q9+R9+S9</f>
        <v>2425.9</v>
      </c>
      <c r="U9" s="1531">
        <v>1</v>
      </c>
      <c r="V9" s="49">
        <f>T9*$U$9</f>
        <v>2425.9</v>
      </c>
      <c r="W9" s="49">
        <f>AN9</f>
        <v>534.29999999999995</v>
      </c>
      <c r="X9" s="23">
        <v>1</v>
      </c>
      <c r="Y9" s="24">
        <v>30</v>
      </c>
      <c r="Z9" s="48">
        <f t="shared" ref="Z9:Z25" si="4">X9*Y9</f>
        <v>30</v>
      </c>
      <c r="AA9" s="23"/>
      <c r="AB9" s="24">
        <v>15</v>
      </c>
      <c r="AC9" s="48">
        <f t="shared" ref="AC9:AC25" si="5">AA9*AB9</f>
        <v>0</v>
      </c>
      <c r="AD9" s="23"/>
      <c r="AE9" s="24">
        <v>30</v>
      </c>
      <c r="AF9" s="48">
        <f t="shared" ref="AF9:AF25" si="6">AD9*AE9</f>
        <v>0</v>
      </c>
      <c r="AG9" s="48">
        <f t="shared" ref="AG9:AG25" si="7">(Z9+AC9+AF9)*1%*30</f>
        <v>9</v>
      </c>
      <c r="AH9" s="48">
        <f t="shared" ref="AH9:AH25" si="8">Z9+AC9+AF9+AG9</f>
        <v>39</v>
      </c>
      <c r="AI9" s="34">
        <f t="shared" ref="AI9:AI27" si="9">V9/12/C9*1000</f>
        <v>202158.3</v>
      </c>
      <c r="AJ9" s="34">
        <f t="shared" ref="AJ9:AJ27" si="10">V9/C9</f>
        <v>2425.9</v>
      </c>
      <c r="AK9" s="50">
        <f>1150*0.22*C9+(V9-1150*C9)*0.1</f>
        <v>380.6</v>
      </c>
      <c r="AL9" s="50">
        <f>865*0.029*C9</f>
        <v>25.1</v>
      </c>
      <c r="AM9" s="50">
        <f t="shared" ref="AM9:AM27" si="11">V9*0.053</f>
        <v>128.6</v>
      </c>
      <c r="AN9" s="50">
        <f>SUM(AK9:AM9)</f>
        <v>534.29999999999995</v>
      </c>
      <c r="AP9" s="51"/>
    </row>
    <row r="10" spans="1:42" ht="27" customHeight="1" x14ac:dyDescent="0.25">
      <c r="A10" s="23">
        <v>2</v>
      </c>
      <c r="B10" s="44" t="s">
        <v>125</v>
      </c>
      <c r="C10" s="23">
        <v>3</v>
      </c>
      <c r="D10" s="45">
        <v>15.394</v>
      </c>
      <c r="E10" s="46">
        <f>C10*D10</f>
        <v>46.18</v>
      </c>
      <c r="F10" s="47">
        <f>E10*12</f>
        <v>554.20000000000005</v>
      </c>
      <c r="G10" s="24"/>
      <c r="H10" s="24"/>
      <c r="I10" s="24"/>
      <c r="J10" s="24"/>
      <c r="K10" s="24">
        <f>D10*0.2*2*12+D10*0.4*12+D10*0.05*3</f>
        <v>150.1</v>
      </c>
      <c r="L10" s="24">
        <f t="shared" ref="L10:L25" si="12">F10*$L$4</f>
        <v>178.5</v>
      </c>
      <c r="M10" s="24">
        <f>F10+G10+H10+I10+J10+K10+L10</f>
        <v>882.8</v>
      </c>
      <c r="N10" s="48">
        <v>0.47</v>
      </c>
      <c r="O10" s="24">
        <f>M10*N10</f>
        <v>414.9</v>
      </c>
      <c r="P10" s="24">
        <f>M10+O10</f>
        <v>1297.7</v>
      </c>
      <c r="Q10" s="24">
        <f>P10*0.8</f>
        <v>1038.2</v>
      </c>
      <c r="R10" s="24">
        <f>P10*0.8</f>
        <v>1038.2</v>
      </c>
      <c r="S10" s="24">
        <f>(P10+Q10+R10)*0.032</f>
        <v>108</v>
      </c>
      <c r="T10" s="49">
        <f>P10+Q10+R10+S10</f>
        <v>3482.1</v>
      </c>
      <c r="U10" s="1532"/>
      <c r="V10" s="49">
        <f>T10*$U$9</f>
        <v>3482.1</v>
      </c>
      <c r="W10" s="49">
        <f>AN10</f>
        <v>1022.1</v>
      </c>
      <c r="X10" s="23">
        <v>2</v>
      </c>
      <c r="Y10" s="24">
        <v>30</v>
      </c>
      <c r="Z10" s="48">
        <f>X10*Y10</f>
        <v>60</v>
      </c>
      <c r="AA10" s="23">
        <v>1</v>
      </c>
      <c r="AB10" s="24">
        <v>15</v>
      </c>
      <c r="AC10" s="48">
        <f>AA10*AB10</f>
        <v>15</v>
      </c>
      <c r="AD10" s="23">
        <v>3</v>
      </c>
      <c r="AE10" s="24">
        <v>30</v>
      </c>
      <c r="AF10" s="48">
        <f>AD10*AE10</f>
        <v>90</v>
      </c>
      <c r="AG10" s="48">
        <f>(Z10+AC10+AF10)*1%*30</f>
        <v>49.5</v>
      </c>
      <c r="AH10" s="48">
        <f>Z10+AC10+AF10+AG10</f>
        <v>214.5</v>
      </c>
      <c r="AI10" s="34">
        <f t="shared" si="9"/>
        <v>96725</v>
      </c>
      <c r="AJ10" s="34">
        <f t="shared" si="10"/>
        <v>1160.7</v>
      </c>
      <c r="AK10" s="50">
        <f>1150*0.22*C10+(V10-1150*C10)*0.1</f>
        <v>762.2</v>
      </c>
      <c r="AL10" s="50">
        <f>865*0.029*C10</f>
        <v>75.3</v>
      </c>
      <c r="AM10" s="50">
        <f>V10*0.053</f>
        <v>184.6</v>
      </c>
      <c r="AN10" s="50">
        <f>SUM(AK10:AM10)</f>
        <v>1022.1</v>
      </c>
      <c r="AP10" s="51"/>
    </row>
    <row r="11" spans="1:42" ht="27" customHeight="1" x14ac:dyDescent="0.25">
      <c r="A11" s="23">
        <v>3</v>
      </c>
      <c r="B11" s="52" t="s">
        <v>23</v>
      </c>
      <c r="C11" s="23">
        <v>7</v>
      </c>
      <c r="D11" s="53">
        <v>11.061999999999999</v>
      </c>
      <c r="E11" s="46">
        <f t="shared" ref="E11:E27" si="13">C11*D11</f>
        <v>77.430000000000007</v>
      </c>
      <c r="F11" s="47">
        <f t="shared" ref="F11:F27" si="14">E11*12</f>
        <v>929.2</v>
      </c>
      <c r="G11" s="24"/>
      <c r="H11" s="24">
        <f>(6470.9+1198.32)/1000</f>
        <v>7.7</v>
      </c>
      <c r="I11" s="24"/>
      <c r="J11" s="24"/>
      <c r="K11" s="24">
        <f>D11*0.25*12+D11*0.35*12+D11*0.4*4*12</f>
        <v>292</v>
      </c>
      <c r="L11" s="24">
        <f t="shared" si="12"/>
        <v>299.39999999999998</v>
      </c>
      <c r="M11" s="24">
        <f t="shared" si="0"/>
        <v>1528.3</v>
      </c>
      <c r="N11" s="48">
        <v>0.43</v>
      </c>
      <c r="O11" s="24">
        <f t="shared" si="1"/>
        <v>657.2</v>
      </c>
      <c r="P11" s="24">
        <f t="shared" ref="P11:P27" si="15">M11+O11</f>
        <v>2185.5</v>
      </c>
      <c r="Q11" s="24">
        <f t="shared" ref="Q11:Q27" si="16">P11*0.8</f>
        <v>1748.4</v>
      </c>
      <c r="R11" s="24">
        <f t="shared" si="2"/>
        <v>1748.4</v>
      </c>
      <c r="S11" s="24">
        <f t="shared" ref="S11:S27" si="17">(P11+Q11+R11)*0.032</f>
        <v>181.8</v>
      </c>
      <c r="T11" s="49">
        <f t="shared" si="3"/>
        <v>5864.1</v>
      </c>
      <c r="U11" s="1532"/>
      <c r="V11" s="49">
        <f t="shared" ref="V11:V25" si="18">T11*$U$9</f>
        <v>5864.1</v>
      </c>
      <c r="W11" s="49">
        <f>V11*0.302</f>
        <v>1771</v>
      </c>
      <c r="X11" s="23">
        <v>2</v>
      </c>
      <c r="Y11" s="24">
        <v>30</v>
      </c>
      <c r="Z11" s="48">
        <f t="shared" si="4"/>
        <v>60</v>
      </c>
      <c r="AA11" s="23">
        <v>3</v>
      </c>
      <c r="AB11" s="24">
        <v>15</v>
      </c>
      <c r="AC11" s="48">
        <f t="shared" si="5"/>
        <v>45</v>
      </c>
      <c r="AD11" s="23"/>
      <c r="AE11" s="24">
        <v>30</v>
      </c>
      <c r="AF11" s="48">
        <f t="shared" si="6"/>
        <v>0</v>
      </c>
      <c r="AG11" s="48">
        <f>(Z11+AC11+AF11)*1%*30</f>
        <v>31.5</v>
      </c>
      <c r="AH11" s="48">
        <f t="shared" si="8"/>
        <v>136.5</v>
      </c>
      <c r="AI11" s="34">
        <f t="shared" si="9"/>
        <v>69810.7</v>
      </c>
      <c r="AJ11" s="34">
        <f t="shared" si="10"/>
        <v>837.7</v>
      </c>
      <c r="AK11" s="50">
        <f t="shared" ref="AK11:AK27" si="19">V11*0.22</f>
        <v>1290.0999999999999</v>
      </c>
      <c r="AL11" s="50">
        <f>865*0.029*C11</f>
        <v>175.6</v>
      </c>
      <c r="AM11" s="50">
        <f t="shared" si="11"/>
        <v>310.8</v>
      </c>
      <c r="AN11" s="50">
        <f t="shared" ref="AN11:AN27" si="20">SUM(AK11:AM11)</f>
        <v>1776.5</v>
      </c>
      <c r="AP11" s="51"/>
    </row>
    <row r="12" spans="1:42" ht="27" customHeight="1" x14ac:dyDescent="0.25">
      <c r="A12" s="23">
        <v>4</v>
      </c>
      <c r="B12" s="52" t="s">
        <v>134</v>
      </c>
      <c r="C12" s="23">
        <v>1</v>
      </c>
      <c r="D12" s="53">
        <v>11.061999999999999</v>
      </c>
      <c r="E12" s="46">
        <f>C12*D12</f>
        <v>11.06</v>
      </c>
      <c r="F12" s="47">
        <f>E12*12</f>
        <v>132.69999999999999</v>
      </c>
      <c r="G12" s="24"/>
      <c r="H12" s="24">
        <f>1078.5/1000</f>
        <v>1.1000000000000001</v>
      </c>
      <c r="I12" s="24"/>
      <c r="J12" s="24"/>
      <c r="K12" s="24"/>
      <c r="L12" s="24">
        <f>F12*$L$4</f>
        <v>42.8</v>
      </c>
      <c r="M12" s="24">
        <f>F12+G12+H12+I12+J12+K12+L12</f>
        <v>176.6</v>
      </c>
      <c r="N12" s="48">
        <v>0.43</v>
      </c>
      <c r="O12" s="24">
        <f>M12*N12</f>
        <v>75.900000000000006</v>
      </c>
      <c r="P12" s="24">
        <f>M12+O12</f>
        <v>252.5</v>
      </c>
      <c r="Q12" s="24">
        <f>P12*0.8</f>
        <v>202</v>
      </c>
      <c r="R12" s="24">
        <f>P12*0.8</f>
        <v>202</v>
      </c>
      <c r="S12" s="24">
        <f>(P12+Q12+R12)*0.032</f>
        <v>21</v>
      </c>
      <c r="T12" s="49">
        <f>P12+Q12+R12+S12</f>
        <v>677.5</v>
      </c>
      <c r="U12" s="1532"/>
      <c r="V12" s="49">
        <f>T12*$U$9</f>
        <v>677.5</v>
      </c>
      <c r="W12" s="49">
        <f t="shared" ref="W12:W26" si="21">V12*0.302</f>
        <v>204.6</v>
      </c>
      <c r="X12" s="23"/>
      <c r="Y12" s="24">
        <v>30</v>
      </c>
      <c r="Z12" s="48">
        <f>X12*Y12</f>
        <v>0</v>
      </c>
      <c r="AA12" s="23"/>
      <c r="AB12" s="24">
        <v>15</v>
      </c>
      <c r="AC12" s="48">
        <f>AA12*AB12</f>
        <v>0</v>
      </c>
      <c r="AD12" s="23"/>
      <c r="AE12" s="24">
        <v>30</v>
      </c>
      <c r="AF12" s="48">
        <f>AD12*AE12</f>
        <v>0</v>
      </c>
      <c r="AG12" s="48">
        <f>(Z12+AC12+AF12)*1%*30</f>
        <v>0</v>
      </c>
      <c r="AH12" s="48">
        <f>Z12+AC12+AF12+AG12</f>
        <v>0</v>
      </c>
      <c r="AI12" s="34">
        <f t="shared" si="9"/>
        <v>56458.3</v>
      </c>
      <c r="AJ12" s="34">
        <f t="shared" si="10"/>
        <v>677.5</v>
      </c>
      <c r="AK12" s="50">
        <f t="shared" si="19"/>
        <v>149.1</v>
      </c>
      <c r="AL12" s="50">
        <f t="shared" ref="AL12:AL27" si="22">912*0.029*C12</f>
        <v>26.4</v>
      </c>
      <c r="AM12" s="50">
        <f t="shared" si="11"/>
        <v>35.9</v>
      </c>
      <c r="AN12" s="50">
        <f t="shared" si="20"/>
        <v>211.4</v>
      </c>
      <c r="AP12" s="51"/>
    </row>
    <row r="13" spans="1:42" ht="27" customHeight="1" x14ac:dyDescent="0.25">
      <c r="A13" s="23">
        <v>5</v>
      </c>
      <c r="B13" s="52" t="s">
        <v>17</v>
      </c>
      <c r="C13" s="23">
        <v>1</v>
      </c>
      <c r="D13" s="53">
        <v>12.335000000000001</v>
      </c>
      <c r="E13" s="46">
        <f t="shared" si="13"/>
        <v>12.34</v>
      </c>
      <c r="F13" s="47">
        <f t="shared" si="14"/>
        <v>148.1</v>
      </c>
      <c r="G13" s="24"/>
      <c r="H13" s="24">
        <f>1202.6/1000</f>
        <v>1.2</v>
      </c>
      <c r="I13" s="24"/>
      <c r="J13" s="24"/>
      <c r="K13" s="24">
        <f>F13*0.4</f>
        <v>59.2</v>
      </c>
      <c r="L13" s="24">
        <f t="shared" si="12"/>
        <v>47.7</v>
      </c>
      <c r="M13" s="24">
        <f t="shared" si="0"/>
        <v>256.2</v>
      </c>
      <c r="N13" s="48">
        <v>0.47</v>
      </c>
      <c r="O13" s="24">
        <f t="shared" si="1"/>
        <v>120.4</v>
      </c>
      <c r="P13" s="24">
        <f t="shared" si="15"/>
        <v>376.6</v>
      </c>
      <c r="Q13" s="24">
        <f t="shared" si="16"/>
        <v>301.3</v>
      </c>
      <c r="R13" s="24">
        <f t="shared" si="2"/>
        <v>301.3</v>
      </c>
      <c r="S13" s="24">
        <f t="shared" si="17"/>
        <v>31.3</v>
      </c>
      <c r="T13" s="49">
        <f t="shared" si="3"/>
        <v>1010.5</v>
      </c>
      <c r="U13" s="1532"/>
      <c r="V13" s="49">
        <f t="shared" si="18"/>
        <v>1010.5</v>
      </c>
      <c r="W13" s="49">
        <f>AN13</f>
        <v>301</v>
      </c>
      <c r="X13" s="23">
        <v>1</v>
      </c>
      <c r="Y13" s="24">
        <v>30</v>
      </c>
      <c r="Z13" s="48">
        <f t="shared" si="4"/>
        <v>30</v>
      </c>
      <c r="AA13" s="23">
        <v>1</v>
      </c>
      <c r="AB13" s="24">
        <v>15</v>
      </c>
      <c r="AC13" s="48">
        <f t="shared" si="5"/>
        <v>15</v>
      </c>
      <c r="AD13" s="23">
        <v>1</v>
      </c>
      <c r="AE13" s="24">
        <v>30</v>
      </c>
      <c r="AF13" s="48">
        <f t="shared" si="6"/>
        <v>30</v>
      </c>
      <c r="AG13" s="48">
        <f t="shared" si="7"/>
        <v>22.5</v>
      </c>
      <c r="AH13" s="48">
        <f t="shared" si="8"/>
        <v>97.5</v>
      </c>
      <c r="AI13" s="34">
        <f t="shared" si="9"/>
        <v>84208.3</v>
      </c>
      <c r="AJ13" s="34">
        <f t="shared" si="10"/>
        <v>1010.5</v>
      </c>
      <c r="AK13" s="50">
        <f>V13*0.22</f>
        <v>222.3</v>
      </c>
      <c r="AL13" s="50">
        <f>865*0.029*C13</f>
        <v>25.1</v>
      </c>
      <c r="AM13" s="50">
        <f>V13*0.053</f>
        <v>53.6</v>
      </c>
      <c r="AN13" s="50">
        <f>SUM(AK13:AM13)</f>
        <v>301</v>
      </c>
      <c r="AP13" s="51"/>
    </row>
    <row r="14" spans="1:42" ht="34.5" customHeight="1" x14ac:dyDescent="0.25">
      <c r="A14" s="23">
        <v>6</v>
      </c>
      <c r="B14" s="52" t="s">
        <v>129</v>
      </c>
      <c r="C14" s="54">
        <v>1</v>
      </c>
      <c r="D14" s="53">
        <v>8.4730000000000008</v>
      </c>
      <c r="E14" s="46">
        <f>C14*D14</f>
        <v>8.4700000000000006</v>
      </c>
      <c r="F14" s="47">
        <f>E14*11</f>
        <v>93.2</v>
      </c>
      <c r="G14" s="24"/>
      <c r="H14" s="24">
        <f>826.1/1000</f>
        <v>0.8</v>
      </c>
      <c r="I14" s="24"/>
      <c r="J14" s="24"/>
      <c r="K14" s="24">
        <f>F14*0.2</f>
        <v>18.600000000000001</v>
      </c>
      <c r="L14" s="24">
        <f>F14*$L$4</f>
        <v>30</v>
      </c>
      <c r="M14" s="24">
        <f>F14+G14+H14+I14+J14+K14+L14</f>
        <v>142.6</v>
      </c>
      <c r="N14" s="48">
        <v>0.41</v>
      </c>
      <c r="O14" s="24">
        <f>M14*N14</f>
        <v>58.5</v>
      </c>
      <c r="P14" s="24">
        <f>M14+O14</f>
        <v>201.1</v>
      </c>
      <c r="Q14" s="24">
        <f>P14*0.8</f>
        <v>160.9</v>
      </c>
      <c r="R14" s="24">
        <f>P14*0.8</f>
        <v>160.9</v>
      </c>
      <c r="S14" s="24">
        <f>(P14+Q14+R14)*0.032</f>
        <v>16.7</v>
      </c>
      <c r="T14" s="49">
        <f>P14+Q14+R14+S14</f>
        <v>539.6</v>
      </c>
      <c r="U14" s="1532"/>
      <c r="V14" s="49">
        <f>T14*$U$9</f>
        <v>539.6</v>
      </c>
      <c r="W14" s="49">
        <f t="shared" si="21"/>
        <v>163</v>
      </c>
      <c r="X14" s="23">
        <v>1</v>
      </c>
      <c r="Y14" s="24">
        <v>30</v>
      </c>
      <c r="Z14" s="48">
        <f>X14*Y14</f>
        <v>30</v>
      </c>
      <c r="AA14" s="23">
        <v>1</v>
      </c>
      <c r="AB14" s="24">
        <v>15</v>
      </c>
      <c r="AC14" s="48">
        <f>AA14*AB14</f>
        <v>15</v>
      </c>
      <c r="AD14" s="23">
        <v>1</v>
      </c>
      <c r="AE14" s="24">
        <v>30</v>
      </c>
      <c r="AF14" s="48">
        <f>AD14*AE14</f>
        <v>30</v>
      </c>
      <c r="AG14" s="48">
        <f>(Z14+AC14+AF14)*1%*30</f>
        <v>22.5</v>
      </c>
      <c r="AH14" s="48">
        <f>Z14+AC14+AF14+AG14</f>
        <v>97.5</v>
      </c>
      <c r="AI14" s="34">
        <f t="shared" si="9"/>
        <v>44966.7</v>
      </c>
      <c r="AJ14" s="34">
        <f t="shared" si="10"/>
        <v>539.6</v>
      </c>
      <c r="AK14" s="50">
        <f t="shared" si="19"/>
        <v>118.7</v>
      </c>
      <c r="AL14" s="50">
        <f t="shared" si="22"/>
        <v>26.4</v>
      </c>
      <c r="AM14" s="50">
        <f t="shared" si="11"/>
        <v>28.6</v>
      </c>
      <c r="AN14" s="50">
        <f t="shared" si="20"/>
        <v>173.7</v>
      </c>
      <c r="AP14" s="51"/>
    </row>
    <row r="15" spans="1:42" ht="27" customHeight="1" x14ac:dyDescent="0.25">
      <c r="A15" s="23">
        <v>7</v>
      </c>
      <c r="B15" s="52" t="s">
        <v>22</v>
      </c>
      <c r="C15" s="277">
        <v>1</v>
      </c>
      <c r="D15" s="53">
        <v>11.061999999999999</v>
      </c>
      <c r="E15" s="46">
        <f>C15*D15</f>
        <v>11.06</v>
      </c>
      <c r="F15" s="47">
        <f>E15*12</f>
        <v>132.69999999999999</v>
      </c>
      <c r="G15" s="24"/>
      <c r="H15" s="24">
        <f>1078.5/1000</f>
        <v>1.1000000000000001</v>
      </c>
      <c r="I15" s="24"/>
      <c r="J15" s="24"/>
      <c r="K15" s="24">
        <f>F15*0.4</f>
        <v>53.1</v>
      </c>
      <c r="L15" s="24">
        <f t="shared" si="12"/>
        <v>42.8</v>
      </c>
      <c r="M15" s="24">
        <f>F15+G15+H15+I15+J15+K15+L15</f>
        <v>229.7</v>
      </c>
      <c r="N15" s="48">
        <v>0.43</v>
      </c>
      <c r="O15" s="24">
        <f>M15*N15</f>
        <v>98.8</v>
      </c>
      <c r="P15" s="24">
        <f>M15+O15</f>
        <v>328.5</v>
      </c>
      <c r="Q15" s="24">
        <f>P15*0.8</f>
        <v>262.8</v>
      </c>
      <c r="R15" s="24">
        <f>P15*0.8</f>
        <v>262.8</v>
      </c>
      <c r="S15" s="24">
        <f>(P15+Q15+R15)*0.032</f>
        <v>27.3</v>
      </c>
      <c r="T15" s="49">
        <f>P15+Q15+R15+S15</f>
        <v>881.4</v>
      </c>
      <c r="U15" s="1532"/>
      <c r="V15" s="49">
        <f>T15*$U$9</f>
        <v>881.4</v>
      </c>
      <c r="W15" s="49">
        <f>AN15</f>
        <v>265.7</v>
      </c>
      <c r="X15" s="23">
        <v>1</v>
      </c>
      <c r="Y15" s="24">
        <v>30</v>
      </c>
      <c r="Z15" s="48">
        <f>X15*Y15</f>
        <v>30</v>
      </c>
      <c r="AA15" s="23"/>
      <c r="AB15" s="24">
        <v>15</v>
      </c>
      <c r="AC15" s="48">
        <f>AA15*AB15</f>
        <v>0</v>
      </c>
      <c r="AD15" s="23"/>
      <c r="AE15" s="24">
        <v>30</v>
      </c>
      <c r="AF15" s="48">
        <f>AD15*AE15</f>
        <v>0</v>
      </c>
      <c r="AG15" s="48">
        <f>(Z15+AC15+AF15)*1%*30</f>
        <v>9</v>
      </c>
      <c r="AH15" s="48">
        <f>Z15+AC15+AF15+AG15</f>
        <v>39</v>
      </c>
      <c r="AI15" s="34">
        <f t="shared" si="9"/>
        <v>73450</v>
      </c>
      <c r="AJ15" s="34">
        <f t="shared" si="10"/>
        <v>881.4</v>
      </c>
      <c r="AK15" s="50">
        <f>V15*0.22</f>
        <v>193.9</v>
      </c>
      <c r="AL15" s="50">
        <f>865*0.029*C15</f>
        <v>25.1</v>
      </c>
      <c r="AM15" s="50">
        <f>V15*0.053</f>
        <v>46.7</v>
      </c>
      <c r="AN15" s="50">
        <f>SUM(AK15:AM15)</f>
        <v>265.7</v>
      </c>
      <c r="AP15" s="51"/>
    </row>
    <row r="16" spans="1:42" ht="27" customHeight="1" x14ac:dyDescent="0.25">
      <c r="A16" s="23">
        <v>8</v>
      </c>
      <c r="B16" s="52" t="s">
        <v>28</v>
      </c>
      <c r="C16" s="54">
        <v>5</v>
      </c>
      <c r="D16" s="53">
        <v>9.593</v>
      </c>
      <c r="E16" s="46">
        <f t="shared" si="13"/>
        <v>47.97</v>
      </c>
      <c r="F16" s="47">
        <f t="shared" si="14"/>
        <v>575.6</v>
      </c>
      <c r="G16" s="24"/>
      <c r="H16" s="24">
        <f>4.78</f>
        <v>4.8</v>
      </c>
      <c r="I16" s="24"/>
      <c r="J16" s="24"/>
      <c r="K16" s="24">
        <f>D16*0.2*2*12+D16*0.05*5.5+D16*0.2*7.5</f>
        <v>63.1</v>
      </c>
      <c r="L16" s="24">
        <f t="shared" si="12"/>
        <v>185.4</v>
      </c>
      <c r="M16" s="24">
        <f t="shared" si="0"/>
        <v>828.9</v>
      </c>
      <c r="N16" s="48">
        <v>0.43</v>
      </c>
      <c r="O16" s="24">
        <f t="shared" si="1"/>
        <v>356.4</v>
      </c>
      <c r="P16" s="24">
        <f t="shared" si="15"/>
        <v>1185.3</v>
      </c>
      <c r="Q16" s="24">
        <f t="shared" si="16"/>
        <v>948.2</v>
      </c>
      <c r="R16" s="24">
        <f t="shared" si="2"/>
        <v>948.2</v>
      </c>
      <c r="S16" s="24">
        <f t="shared" si="17"/>
        <v>98.6</v>
      </c>
      <c r="T16" s="49">
        <f t="shared" si="3"/>
        <v>3180.3</v>
      </c>
      <c r="U16" s="1532"/>
      <c r="V16" s="49">
        <f>T16*$U$9</f>
        <v>3180.3</v>
      </c>
      <c r="W16" s="49">
        <f t="shared" si="21"/>
        <v>960.5</v>
      </c>
      <c r="X16" s="23"/>
      <c r="Y16" s="24">
        <v>30</v>
      </c>
      <c r="Z16" s="48">
        <f t="shared" si="4"/>
        <v>0</v>
      </c>
      <c r="AA16" s="23"/>
      <c r="AB16" s="24">
        <v>15</v>
      </c>
      <c r="AC16" s="48">
        <f t="shared" si="5"/>
        <v>0</v>
      </c>
      <c r="AD16" s="23"/>
      <c r="AE16" s="24">
        <v>30</v>
      </c>
      <c r="AF16" s="48">
        <f t="shared" si="6"/>
        <v>0</v>
      </c>
      <c r="AG16" s="48">
        <f t="shared" si="7"/>
        <v>0</v>
      </c>
      <c r="AH16" s="48">
        <f t="shared" si="8"/>
        <v>0</v>
      </c>
      <c r="AI16" s="34">
        <f t="shared" si="9"/>
        <v>53005</v>
      </c>
      <c r="AJ16" s="34">
        <f t="shared" si="10"/>
        <v>636.1</v>
      </c>
      <c r="AK16" s="50">
        <f t="shared" si="19"/>
        <v>699.7</v>
      </c>
      <c r="AL16" s="50">
        <f t="shared" si="22"/>
        <v>132.19999999999999</v>
      </c>
      <c r="AM16" s="50">
        <f t="shared" si="11"/>
        <v>168.6</v>
      </c>
      <c r="AN16" s="50">
        <f t="shared" si="20"/>
        <v>1000.5</v>
      </c>
      <c r="AP16" s="51"/>
    </row>
    <row r="17" spans="1:42" ht="27" customHeight="1" x14ac:dyDescent="0.25">
      <c r="A17" s="23">
        <v>9</v>
      </c>
      <c r="B17" s="52" t="s">
        <v>24</v>
      </c>
      <c r="C17" s="54">
        <v>15</v>
      </c>
      <c r="D17" s="53">
        <v>8.5419999999999998</v>
      </c>
      <c r="E17" s="46">
        <f t="shared" si="13"/>
        <v>128.13</v>
      </c>
      <c r="F17" s="47">
        <f t="shared" si="14"/>
        <v>1537.6</v>
      </c>
      <c r="G17" s="24"/>
      <c r="H17" s="24">
        <f>14.25</f>
        <v>14.3</v>
      </c>
      <c r="I17" s="24"/>
      <c r="J17" s="24"/>
      <c r="K17" s="24">
        <f>D17*0.2*8*12+D17*0.25*12+D17*0.05*12+D17*0.3*12</f>
        <v>225.5</v>
      </c>
      <c r="L17" s="24">
        <f t="shared" si="12"/>
        <v>495.4</v>
      </c>
      <c r="M17" s="24">
        <f t="shared" si="0"/>
        <v>2272.8000000000002</v>
      </c>
      <c r="N17" s="48">
        <v>0.4</v>
      </c>
      <c r="O17" s="24">
        <f t="shared" si="1"/>
        <v>909.1</v>
      </c>
      <c r="P17" s="24">
        <f t="shared" si="15"/>
        <v>3181.9</v>
      </c>
      <c r="Q17" s="24">
        <f t="shared" si="16"/>
        <v>2545.5</v>
      </c>
      <c r="R17" s="24">
        <f t="shared" si="2"/>
        <v>2545.5</v>
      </c>
      <c r="S17" s="24">
        <f t="shared" si="17"/>
        <v>264.7</v>
      </c>
      <c r="T17" s="49">
        <f t="shared" si="3"/>
        <v>8537.6</v>
      </c>
      <c r="U17" s="1532"/>
      <c r="V17" s="49">
        <f t="shared" si="18"/>
        <v>8537.6</v>
      </c>
      <c r="W17" s="49">
        <f t="shared" si="21"/>
        <v>2578.4</v>
      </c>
      <c r="X17" s="23">
        <v>10</v>
      </c>
      <c r="Y17" s="24">
        <v>30</v>
      </c>
      <c r="Z17" s="48">
        <f t="shared" si="4"/>
        <v>300</v>
      </c>
      <c r="AA17" s="23">
        <v>3</v>
      </c>
      <c r="AB17" s="24">
        <v>15</v>
      </c>
      <c r="AC17" s="48">
        <f t="shared" si="5"/>
        <v>45</v>
      </c>
      <c r="AD17" s="23">
        <v>2</v>
      </c>
      <c r="AE17" s="24">
        <v>30</v>
      </c>
      <c r="AF17" s="48">
        <f t="shared" si="6"/>
        <v>60</v>
      </c>
      <c r="AG17" s="48">
        <f>(Z17+AC17+AF17)*1%*30</f>
        <v>121.5</v>
      </c>
      <c r="AH17" s="48">
        <f t="shared" si="8"/>
        <v>526.5</v>
      </c>
      <c r="AI17" s="34">
        <f t="shared" si="9"/>
        <v>47431.1</v>
      </c>
      <c r="AJ17" s="34">
        <f t="shared" si="10"/>
        <v>569.20000000000005</v>
      </c>
      <c r="AK17" s="50">
        <f t="shared" si="19"/>
        <v>1878.3</v>
      </c>
      <c r="AL17" s="50">
        <f t="shared" si="22"/>
        <v>396.7</v>
      </c>
      <c r="AM17" s="50">
        <f t="shared" si="11"/>
        <v>452.5</v>
      </c>
      <c r="AN17" s="50">
        <f t="shared" si="20"/>
        <v>2727.5</v>
      </c>
      <c r="AP17" s="51"/>
    </row>
    <row r="18" spans="1:42" ht="27" customHeight="1" x14ac:dyDescent="0.25">
      <c r="A18" s="23">
        <v>10</v>
      </c>
      <c r="B18" s="55" t="s">
        <v>26</v>
      </c>
      <c r="C18" s="56">
        <v>16</v>
      </c>
      <c r="D18" s="53">
        <v>4.3109999999999999</v>
      </c>
      <c r="E18" s="46">
        <f>C18*D18</f>
        <v>68.98</v>
      </c>
      <c r="F18" s="47">
        <f>E18*12</f>
        <v>827.8</v>
      </c>
      <c r="G18" s="24"/>
      <c r="H18" s="24">
        <f>27739.8/1000</f>
        <v>27.7</v>
      </c>
      <c r="I18" s="24"/>
      <c r="J18" s="24"/>
      <c r="K18" s="24"/>
      <c r="L18" s="24">
        <v>390</v>
      </c>
      <c r="M18" s="24">
        <f>F18+G18+H18+I18+J18+K18+L18</f>
        <v>1245.5</v>
      </c>
      <c r="N18" s="48">
        <v>0.75</v>
      </c>
      <c r="O18" s="24">
        <f>M18*N18</f>
        <v>934.1</v>
      </c>
      <c r="P18" s="24">
        <f>M18+O18</f>
        <v>2179.6</v>
      </c>
      <c r="Q18" s="24">
        <f>P18*0.8</f>
        <v>1743.7</v>
      </c>
      <c r="R18" s="24">
        <f>P18*0.8</f>
        <v>1743.7</v>
      </c>
      <c r="S18" s="24">
        <f>(P18+Q18+R18)*0.032</f>
        <v>181.3</v>
      </c>
      <c r="T18" s="49">
        <f>P18+Q18+R18+S18</f>
        <v>5848.3</v>
      </c>
      <c r="U18" s="1532"/>
      <c r="V18" s="49">
        <f>T18*$U$9</f>
        <v>5848.3</v>
      </c>
      <c r="W18" s="49">
        <f t="shared" si="21"/>
        <v>1766.2</v>
      </c>
      <c r="X18" s="23">
        <v>7</v>
      </c>
      <c r="Y18" s="24">
        <v>30</v>
      </c>
      <c r="Z18" s="48">
        <f>X18*Y18</f>
        <v>210</v>
      </c>
      <c r="AA18" s="23">
        <v>2</v>
      </c>
      <c r="AB18" s="24">
        <v>15</v>
      </c>
      <c r="AC18" s="48">
        <f>AA18*AB18</f>
        <v>30</v>
      </c>
      <c r="AD18" s="23">
        <v>1</v>
      </c>
      <c r="AE18" s="24">
        <v>30</v>
      </c>
      <c r="AF18" s="48">
        <f>AD18*AE18</f>
        <v>30</v>
      </c>
      <c r="AG18" s="48">
        <f>(Z18+AC18+AF18)*1%*30</f>
        <v>81</v>
      </c>
      <c r="AH18" s="48">
        <f>Z18+AC18+AF18+AG18</f>
        <v>351</v>
      </c>
      <c r="AI18" s="34">
        <f t="shared" si="9"/>
        <v>30459.9</v>
      </c>
      <c r="AJ18" s="34">
        <f t="shared" si="10"/>
        <v>365.5</v>
      </c>
      <c r="AK18" s="50">
        <f t="shared" si="19"/>
        <v>1286.5999999999999</v>
      </c>
      <c r="AL18" s="50">
        <f t="shared" si="22"/>
        <v>423.2</v>
      </c>
      <c r="AM18" s="50">
        <f t="shared" si="11"/>
        <v>310</v>
      </c>
      <c r="AN18" s="50">
        <f t="shared" si="20"/>
        <v>2019.8</v>
      </c>
      <c r="AP18" s="51"/>
    </row>
    <row r="19" spans="1:42" ht="27" customHeight="1" x14ac:dyDescent="0.25">
      <c r="A19" s="23">
        <v>11</v>
      </c>
      <c r="B19" s="55" t="s">
        <v>50</v>
      </c>
      <c r="C19" s="57">
        <v>2</v>
      </c>
      <c r="D19" s="53">
        <v>8.4730000000000008</v>
      </c>
      <c r="E19" s="46">
        <f t="shared" si="13"/>
        <v>16.95</v>
      </c>
      <c r="F19" s="47">
        <f t="shared" si="14"/>
        <v>203.4</v>
      </c>
      <c r="G19" s="24"/>
      <c r="H19" s="24">
        <f>1652.1/1000</f>
        <v>1.7</v>
      </c>
      <c r="I19" s="24"/>
      <c r="J19" s="24"/>
      <c r="K19" s="24">
        <f>D19*0.25*12+D19*0.2*12</f>
        <v>45.8</v>
      </c>
      <c r="L19" s="24">
        <f t="shared" si="12"/>
        <v>65.5</v>
      </c>
      <c r="M19" s="24">
        <f t="shared" si="0"/>
        <v>316.39999999999998</v>
      </c>
      <c r="N19" s="48">
        <v>0.41</v>
      </c>
      <c r="O19" s="24">
        <f t="shared" si="1"/>
        <v>129.69999999999999</v>
      </c>
      <c r="P19" s="24">
        <f t="shared" si="15"/>
        <v>446.1</v>
      </c>
      <c r="Q19" s="24">
        <f t="shared" si="16"/>
        <v>356.9</v>
      </c>
      <c r="R19" s="24">
        <f t="shared" si="2"/>
        <v>356.9</v>
      </c>
      <c r="S19" s="24">
        <f t="shared" si="17"/>
        <v>37.1</v>
      </c>
      <c r="T19" s="49">
        <f t="shared" si="3"/>
        <v>1197</v>
      </c>
      <c r="U19" s="1532"/>
      <c r="V19" s="49">
        <f t="shared" si="18"/>
        <v>1197</v>
      </c>
      <c r="W19" s="49">
        <f t="shared" si="21"/>
        <v>361.5</v>
      </c>
      <c r="X19" s="23">
        <v>2</v>
      </c>
      <c r="Y19" s="24">
        <v>30</v>
      </c>
      <c r="Z19" s="48">
        <f t="shared" si="4"/>
        <v>60</v>
      </c>
      <c r="AA19" s="23"/>
      <c r="AB19" s="24">
        <v>15</v>
      </c>
      <c r="AC19" s="48">
        <f t="shared" si="5"/>
        <v>0</v>
      </c>
      <c r="AD19" s="23"/>
      <c r="AE19" s="24">
        <v>30</v>
      </c>
      <c r="AF19" s="48">
        <f t="shared" si="6"/>
        <v>0</v>
      </c>
      <c r="AG19" s="48">
        <f t="shared" si="7"/>
        <v>18</v>
      </c>
      <c r="AH19" s="48">
        <f t="shared" si="8"/>
        <v>78</v>
      </c>
      <c r="AI19" s="34">
        <f t="shared" si="9"/>
        <v>49875</v>
      </c>
      <c r="AJ19" s="34">
        <f t="shared" si="10"/>
        <v>598.5</v>
      </c>
      <c r="AK19" s="50">
        <f t="shared" si="19"/>
        <v>263.3</v>
      </c>
      <c r="AL19" s="50">
        <f t="shared" si="22"/>
        <v>52.9</v>
      </c>
      <c r="AM19" s="50">
        <f t="shared" si="11"/>
        <v>63.4</v>
      </c>
      <c r="AN19" s="50">
        <f t="shared" si="20"/>
        <v>379.6</v>
      </c>
      <c r="AP19" s="51"/>
    </row>
    <row r="20" spans="1:42" ht="27" customHeight="1" x14ac:dyDescent="0.25">
      <c r="A20" s="23">
        <v>12</v>
      </c>
      <c r="B20" s="52" t="s">
        <v>18</v>
      </c>
      <c r="C20" s="47">
        <v>1</v>
      </c>
      <c r="D20" s="53">
        <v>8.4730000000000008</v>
      </c>
      <c r="E20" s="46">
        <f t="shared" si="13"/>
        <v>8.4700000000000006</v>
      </c>
      <c r="F20" s="47">
        <f t="shared" si="14"/>
        <v>101.6</v>
      </c>
      <c r="G20" s="24"/>
      <c r="H20" s="24">
        <f>826.1/1000</f>
        <v>0.8</v>
      </c>
      <c r="I20" s="24"/>
      <c r="J20" s="24"/>
      <c r="K20" s="24">
        <f>D20*0.35*12+D20*0.05*9</f>
        <v>39.4</v>
      </c>
      <c r="L20" s="24">
        <f t="shared" si="12"/>
        <v>32.700000000000003</v>
      </c>
      <c r="M20" s="24">
        <f t="shared" si="0"/>
        <v>174.5</v>
      </c>
      <c r="N20" s="48">
        <v>0.41</v>
      </c>
      <c r="O20" s="24">
        <f t="shared" si="1"/>
        <v>71.5</v>
      </c>
      <c r="P20" s="24">
        <f t="shared" si="15"/>
        <v>246</v>
      </c>
      <c r="Q20" s="24">
        <f t="shared" si="16"/>
        <v>196.8</v>
      </c>
      <c r="R20" s="24">
        <f t="shared" si="2"/>
        <v>196.8</v>
      </c>
      <c r="S20" s="24">
        <f t="shared" si="17"/>
        <v>20.5</v>
      </c>
      <c r="T20" s="49">
        <f t="shared" si="3"/>
        <v>660.1</v>
      </c>
      <c r="U20" s="1532"/>
      <c r="V20" s="49">
        <f t="shared" si="18"/>
        <v>660.1</v>
      </c>
      <c r="W20" s="49">
        <f t="shared" si="21"/>
        <v>199.4</v>
      </c>
      <c r="X20" s="23"/>
      <c r="Y20" s="24">
        <v>30</v>
      </c>
      <c r="Z20" s="48">
        <f t="shared" si="4"/>
        <v>0</v>
      </c>
      <c r="AA20" s="23"/>
      <c r="AB20" s="24">
        <v>15</v>
      </c>
      <c r="AC20" s="48">
        <f t="shared" si="5"/>
        <v>0</v>
      </c>
      <c r="AD20" s="23"/>
      <c r="AE20" s="24">
        <v>30</v>
      </c>
      <c r="AF20" s="48">
        <f t="shared" si="6"/>
        <v>0</v>
      </c>
      <c r="AG20" s="48">
        <f t="shared" si="7"/>
        <v>0</v>
      </c>
      <c r="AH20" s="48">
        <f t="shared" si="8"/>
        <v>0</v>
      </c>
      <c r="AI20" s="34">
        <f t="shared" si="9"/>
        <v>55008.3</v>
      </c>
      <c r="AJ20" s="34">
        <f t="shared" si="10"/>
        <v>660.1</v>
      </c>
      <c r="AK20" s="50">
        <f t="shared" si="19"/>
        <v>145.19999999999999</v>
      </c>
      <c r="AL20" s="50">
        <f t="shared" si="22"/>
        <v>26.4</v>
      </c>
      <c r="AM20" s="50">
        <f t="shared" si="11"/>
        <v>35</v>
      </c>
      <c r="AN20" s="50">
        <f t="shared" si="20"/>
        <v>206.6</v>
      </c>
      <c r="AP20" s="51"/>
    </row>
    <row r="21" spans="1:42" ht="27" customHeight="1" x14ac:dyDescent="0.25">
      <c r="A21" s="23">
        <v>13</v>
      </c>
      <c r="B21" s="52" t="s">
        <v>106</v>
      </c>
      <c r="C21" s="47">
        <v>1</v>
      </c>
      <c r="D21" s="53">
        <v>8.4730000000000008</v>
      </c>
      <c r="E21" s="46">
        <f>C21*D21</f>
        <v>8.4700000000000006</v>
      </c>
      <c r="F21" s="47">
        <f>E21*12</f>
        <v>101.6</v>
      </c>
      <c r="G21" s="24"/>
      <c r="H21" s="24">
        <f>917.9/1000</f>
        <v>0.9</v>
      </c>
      <c r="I21" s="24"/>
      <c r="J21" s="24"/>
      <c r="K21" s="24"/>
      <c r="L21" s="24">
        <f>F21*$L$4</f>
        <v>32.700000000000003</v>
      </c>
      <c r="M21" s="24">
        <f>F21+G21+H21+I21+J21+K21+L21</f>
        <v>135.19999999999999</v>
      </c>
      <c r="N21" s="48">
        <v>0.47</v>
      </c>
      <c r="O21" s="24">
        <f t="shared" si="1"/>
        <v>63.5</v>
      </c>
      <c r="P21" s="24">
        <f t="shared" si="15"/>
        <v>198.7</v>
      </c>
      <c r="Q21" s="24">
        <f t="shared" si="16"/>
        <v>159</v>
      </c>
      <c r="R21" s="24">
        <f t="shared" si="2"/>
        <v>159</v>
      </c>
      <c r="S21" s="24">
        <f t="shared" si="17"/>
        <v>16.5</v>
      </c>
      <c r="T21" s="49">
        <f t="shared" si="3"/>
        <v>533.20000000000005</v>
      </c>
      <c r="U21" s="1532"/>
      <c r="V21" s="49">
        <f t="shared" si="18"/>
        <v>533.20000000000005</v>
      </c>
      <c r="W21" s="49">
        <f t="shared" si="21"/>
        <v>161</v>
      </c>
      <c r="X21" s="23"/>
      <c r="Y21" s="24">
        <v>30</v>
      </c>
      <c r="Z21" s="48">
        <f>X21*Y21</f>
        <v>0</v>
      </c>
      <c r="AA21" s="23"/>
      <c r="AB21" s="24">
        <v>15</v>
      </c>
      <c r="AC21" s="48">
        <f>AA21*AB21</f>
        <v>0</v>
      </c>
      <c r="AD21" s="23"/>
      <c r="AE21" s="24">
        <v>30</v>
      </c>
      <c r="AF21" s="48">
        <f>AD21*AE21</f>
        <v>0</v>
      </c>
      <c r="AG21" s="48">
        <f>(Z21+AC21+AF21)*1%*30</f>
        <v>0</v>
      </c>
      <c r="AH21" s="48">
        <f>Z21+AC21+AF21+AG21</f>
        <v>0</v>
      </c>
      <c r="AI21" s="34">
        <f t="shared" si="9"/>
        <v>44433.3</v>
      </c>
      <c r="AJ21" s="34">
        <f t="shared" si="10"/>
        <v>533.20000000000005</v>
      </c>
      <c r="AK21" s="50">
        <f t="shared" si="19"/>
        <v>117.3</v>
      </c>
      <c r="AL21" s="50">
        <f t="shared" si="22"/>
        <v>26.4</v>
      </c>
      <c r="AM21" s="50">
        <f t="shared" si="11"/>
        <v>28.3</v>
      </c>
      <c r="AN21" s="50">
        <f t="shared" si="20"/>
        <v>172</v>
      </c>
      <c r="AP21" s="51"/>
    </row>
    <row r="22" spans="1:42" ht="23.25" customHeight="1" x14ac:dyDescent="0.25">
      <c r="A22" s="23">
        <v>14</v>
      </c>
      <c r="B22" s="52" t="s">
        <v>29</v>
      </c>
      <c r="C22" s="57">
        <v>1</v>
      </c>
      <c r="D22" s="53">
        <v>8.4730000000000008</v>
      </c>
      <c r="E22" s="46">
        <f>C22*D22</f>
        <v>8.4700000000000006</v>
      </c>
      <c r="F22" s="47">
        <f>E22*12</f>
        <v>101.6</v>
      </c>
      <c r="G22" s="24"/>
      <c r="H22" s="24">
        <f>1239.1/1000</f>
        <v>1.2</v>
      </c>
      <c r="I22" s="24"/>
      <c r="J22" s="24"/>
      <c r="K22" s="24">
        <f>D22*0.4*12</f>
        <v>40.700000000000003</v>
      </c>
      <c r="L22" s="24">
        <f t="shared" si="12"/>
        <v>32.700000000000003</v>
      </c>
      <c r="M22" s="24">
        <f>F22+G22+H22+I22+J22+K22+L22</f>
        <v>176.2</v>
      </c>
      <c r="N22" s="48">
        <v>0.41</v>
      </c>
      <c r="O22" s="24">
        <f t="shared" si="1"/>
        <v>72.2</v>
      </c>
      <c r="P22" s="24">
        <f t="shared" si="15"/>
        <v>248.4</v>
      </c>
      <c r="Q22" s="24">
        <f t="shared" si="16"/>
        <v>198.7</v>
      </c>
      <c r="R22" s="24">
        <f t="shared" si="2"/>
        <v>198.7</v>
      </c>
      <c r="S22" s="24">
        <f t="shared" si="17"/>
        <v>20.7</v>
      </c>
      <c r="T22" s="49">
        <f t="shared" si="3"/>
        <v>666.5</v>
      </c>
      <c r="U22" s="1532"/>
      <c r="V22" s="49">
        <f t="shared" si="18"/>
        <v>666.5</v>
      </c>
      <c r="W22" s="49">
        <f t="shared" si="21"/>
        <v>201.3</v>
      </c>
      <c r="X22" s="23">
        <v>2</v>
      </c>
      <c r="Y22" s="24">
        <v>30</v>
      </c>
      <c r="Z22" s="48">
        <f t="shared" si="4"/>
        <v>60</v>
      </c>
      <c r="AA22" s="23">
        <v>1</v>
      </c>
      <c r="AB22" s="24">
        <v>15</v>
      </c>
      <c r="AC22" s="48">
        <f t="shared" si="5"/>
        <v>15</v>
      </c>
      <c r="AD22" s="23"/>
      <c r="AE22" s="24">
        <v>30</v>
      </c>
      <c r="AF22" s="48">
        <f t="shared" si="6"/>
        <v>0</v>
      </c>
      <c r="AG22" s="48">
        <f t="shared" si="7"/>
        <v>22.5</v>
      </c>
      <c r="AH22" s="48">
        <f t="shared" si="8"/>
        <v>97.5</v>
      </c>
      <c r="AI22" s="34">
        <f t="shared" si="9"/>
        <v>55541.7</v>
      </c>
      <c r="AJ22" s="34">
        <f t="shared" si="10"/>
        <v>666.5</v>
      </c>
      <c r="AK22" s="50">
        <f t="shared" si="19"/>
        <v>146.6</v>
      </c>
      <c r="AL22" s="50">
        <f t="shared" si="22"/>
        <v>26.4</v>
      </c>
      <c r="AM22" s="50">
        <f t="shared" si="11"/>
        <v>35.299999999999997</v>
      </c>
      <c r="AN22" s="50">
        <f t="shared" si="20"/>
        <v>208.3</v>
      </c>
      <c r="AP22" s="51"/>
    </row>
    <row r="23" spans="1:42" ht="23.25" customHeight="1" x14ac:dyDescent="0.25">
      <c r="A23" s="23">
        <v>15</v>
      </c>
      <c r="B23" s="52" t="s">
        <v>20</v>
      </c>
      <c r="C23" s="47">
        <v>0.5</v>
      </c>
      <c r="D23" s="53">
        <v>8.4730000000000008</v>
      </c>
      <c r="E23" s="46">
        <f>C23*D23</f>
        <v>4.24</v>
      </c>
      <c r="F23" s="47">
        <f>E23*12</f>
        <v>50.9</v>
      </c>
      <c r="G23" s="24"/>
      <c r="H23" s="24"/>
      <c r="I23" s="24"/>
      <c r="J23" s="24"/>
      <c r="K23" s="24"/>
      <c r="L23" s="24">
        <f>F23*$L$4</f>
        <v>16.399999999999999</v>
      </c>
      <c r="M23" s="24">
        <f>F23+G23+H23+I23+J23+K23+L23</f>
        <v>67.3</v>
      </c>
      <c r="N23" s="48">
        <v>0.41</v>
      </c>
      <c r="O23" s="24">
        <f>M23*N23</f>
        <v>27.6</v>
      </c>
      <c r="P23" s="24">
        <f>M23+O23</f>
        <v>94.9</v>
      </c>
      <c r="Q23" s="24">
        <f>P23*0.8</f>
        <v>75.900000000000006</v>
      </c>
      <c r="R23" s="24">
        <f>P23*0.8</f>
        <v>75.900000000000006</v>
      </c>
      <c r="S23" s="24">
        <f>(P23+Q23+R23)*0.032</f>
        <v>7.9</v>
      </c>
      <c r="T23" s="49">
        <f>P23+Q23+R23+S23</f>
        <v>254.6</v>
      </c>
      <c r="U23" s="1532"/>
      <c r="V23" s="49">
        <f>T23*$U$9</f>
        <v>254.6</v>
      </c>
      <c r="W23" s="49">
        <f t="shared" si="21"/>
        <v>76.900000000000006</v>
      </c>
      <c r="X23" s="23"/>
      <c r="Y23" s="24">
        <v>30</v>
      </c>
      <c r="Z23" s="48">
        <f>X23*Y23</f>
        <v>0</v>
      </c>
      <c r="AA23" s="23"/>
      <c r="AB23" s="24">
        <v>15</v>
      </c>
      <c r="AC23" s="48">
        <f>AA23*AB23</f>
        <v>0</v>
      </c>
      <c r="AD23" s="23"/>
      <c r="AE23" s="24">
        <v>30</v>
      </c>
      <c r="AF23" s="48">
        <f>AD23*AE23</f>
        <v>0</v>
      </c>
      <c r="AG23" s="48">
        <f>(Z23+AC23+AF23)*1%*30</f>
        <v>0</v>
      </c>
      <c r="AH23" s="48">
        <f>Z23+AC23+AF23+AG23</f>
        <v>0</v>
      </c>
      <c r="AI23" s="34">
        <f t="shared" si="9"/>
        <v>42433.3</v>
      </c>
      <c r="AJ23" s="34">
        <f t="shared" si="10"/>
        <v>509.2</v>
      </c>
      <c r="AK23" s="50">
        <f t="shared" si="19"/>
        <v>56</v>
      </c>
      <c r="AL23" s="50">
        <f t="shared" si="22"/>
        <v>13.2</v>
      </c>
      <c r="AM23" s="50">
        <f t="shared" si="11"/>
        <v>13.5</v>
      </c>
      <c r="AN23" s="50">
        <f t="shared" si="20"/>
        <v>82.7</v>
      </c>
      <c r="AP23" s="51"/>
    </row>
    <row r="24" spans="1:42" ht="23.25" customHeight="1" x14ac:dyDescent="0.25">
      <c r="A24" s="23">
        <v>16</v>
      </c>
      <c r="B24" s="52" t="s">
        <v>30</v>
      </c>
      <c r="C24" s="57">
        <v>2</v>
      </c>
      <c r="D24" s="53">
        <v>8.4730000000000008</v>
      </c>
      <c r="E24" s="46">
        <f>C24*D24</f>
        <v>16.95</v>
      </c>
      <c r="F24" s="47">
        <f>E24*12</f>
        <v>203.4</v>
      </c>
      <c r="G24" s="24"/>
      <c r="H24" s="24">
        <f>1652.1/1000</f>
        <v>1.7</v>
      </c>
      <c r="I24" s="24"/>
      <c r="J24" s="24"/>
      <c r="K24" s="24">
        <f>D24*0.3*12+D24*0.25*12+D24*0.05*1</f>
        <v>56.3</v>
      </c>
      <c r="L24" s="24">
        <f t="shared" si="12"/>
        <v>65.5</v>
      </c>
      <c r="M24" s="24">
        <f>F24+G24+H24+I24+J24+K24+L24</f>
        <v>326.89999999999998</v>
      </c>
      <c r="N24" s="48">
        <v>0.41</v>
      </c>
      <c r="O24" s="24">
        <f t="shared" si="1"/>
        <v>134</v>
      </c>
      <c r="P24" s="24">
        <f t="shared" si="15"/>
        <v>460.9</v>
      </c>
      <c r="Q24" s="24">
        <f t="shared" si="16"/>
        <v>368.7</v>
      </c>
      <c r="R24" s="24">
        <f t="shared" si="2"/>
        <v>368.7</v>
      </c>
      <c r="S24" s="24">
        <f t="shared" si="17"/>
        <v>38.299999999999997</v>
      </c>
      <c r="T24" s="49">
        <f t="shared" si="3"/>
        <v>1236.5999999999999</v>
      </c>
      <c r="U24" s="1532"/>
      <c r="V24" s="49">
        <f t="shared" si="18"/>
        <v>1236.5999999999999</v>
      </c>
      <c r="W24" s="49">
        <f t="shared" si="21"/>
        <v>373.5</v>
      </c>
      <c r="X24" s="23"/>
      <c r="Y24" s="24">
        <v>30</v>
      </c>
      <c r="Z24" s="48">
        <f t="shared" si="4"/>
        <v>0</v>
      </c>
      <c r="AA24" s="23"/>
      <c r="AB24" s="24">
        <v>15</v>
      </c>
      <c r="AC24" s="48">
        <f t="shared" si="5"/>
        <v>0</v>
      </c>
      <c r="AD24" s="23"/>
      <c r="AE24" s="24">
        <v>30</v>
      </c>
      <c r="AF24" s="48">
        <f t="shared" si="6"/>
        <v>0</v>
      </c>
      <c r="AG24" s="48">
        <f t="shared" si="7"/>
        <v>0</v>
      </c>
      <c r="AH24" s="48">
        <f t="shared" si="8"/>
        <v>0</v>
      </c>
      <c r="AI24" s="34">
        <f t="shared" si="9"/>
        <v>51525</v>
      </c>
      <c r="AJ24" s="34">
        <f t="shared" si="10"/>
        <v>618.29999999999995</v>
      </c>
      <c r="AK24" s="50">
        <f t="shared" si="19"/>
        <v>272.10000000000002</v>
      </c>
      <c r="AL24" s="50">
        <f t="shared" si="22"/>
        <v>52.9</v>
      </c>
      <c r="AM24" s="50">
        <f t="shared" si="11"/>
        <v>65.5</v>
      </c>
      <c r="AN24" s="50">
        <f t="shared" si="20"/>
        <v>390.5</v>
      </c>
      <c r="AP24" s="51"/>
    </row>
    <row r="25" spans="1:42" ht="27" customHeight="1" x14ac:dyDescent="0.25">
      <c r="A25" s="23">
        <v>17</v>
      </c>
      <c r="B25" s="52" t="s">
        <v>33</v>
      </c>
      <c r="C25" s="57">
        <v>1</v>
      </c>
      <c r="D25" s="53">
        <v>8.4730000000000008</v>
      </c>
      <c r="E25" s="46">
        <f t="shared" si="13"/>
        <v>8.4700000000000006</v>
      </c>
      <c r="F25" s="47">
        <f t="shared" si="14"/>
        <v>101.6</v>
      </c>
      <c r="G25" s="24"/>
      <c r="H25" s="24">
        <f>826.1/1000</f>
        <v>0.8</v>
      </c>
      <c r="I25" s="24"/>
      <c r="J25" s="24"/>
      <c r="K25" s="24">
        <f>F25*0.2</f>
        <v>20.3</v>
      </c>
      <c r="L25" s="24">
        <f t="shared" si="12"/>
        <v>32.700000000000003</v>
      </c>
      <c r="M25" s="24">
        <f>F25+G25+H25+I25+J25+K25+L25</f>
        <v>155.4</v>
      </c>
      <c r="N25" s="48">
        <v>0.41</v>
      </c>
      <c r="O25" s="24">
        <f t="shared" si="1"/>
        <v>63.7</v>
      </c>
      <c r="P25" s="24">
        <f t="shared" si="15"/>
        <v>219.1</v>
      </c>
      <c r="Q25" s="24">
        <f t="shared" si="16"/>
        <v>175.3</v>
      </c>
      <c r="R25" s="24">
        <f t="shared" si="2"/>
        <v>175.3</v>
      </c>
      <c r="S25" s="24">
        <f t="shared" si="17"/>
        <v>18.2</v>
      </c>
      <c r="T25" s="49">
        <f t="shared" si="3"/>
        <v>587.9</v>
      </c>
      <c r="U25" s="1532"/>
      <c r="V25" s="49">
        <f t="shared" si="18"/>
        <v>587.9</v>
      </c>
      <c r="W25" s="49">
        <f t="shared" si="21"/>
        <v>177.5</v>
      </c>
      <c r="X25" s="23"/>
      <c r="Y25" s="24">
        <v>30</v>
      </c>
      <c r="Z25" s="48">
        <f t="shared" si="4"/>
        <v>0</v>
      </c>
      <c r="AA25" s="23"/>
      <c r="AB25" s="24">
        <v>15</v>
      </c>
      <c r="AC25" s="48">
        <f t="shared" si="5"/>
        <v>0</v>
      </c>
      <c r="AD25" s="23"/>
      <c r="AE25" s="24">
        <v>30</v>
      </c>
      <c r="AF25" s="48">
        <f t="shared" si="6"/>
        <v>0</v>
      </c>
      <c r="AG25" s="48">
        <f t="shared" si="7"/>
        <v>0</v>
      </c>
      <c r="AH25" s="48">
        <f t="shared" si="8"/>
        <v>0</v>
      </c>
      <c r="AI25" s="34">
        <f t="shared" si="9"/>
        <v>48991.7</v>
      </c>
      <c r="AJ25" s="34">
        <f t="shared" si="10"/>
        <v>587.9</v>
      </c>
      <c r="AK25" s="50">
        <f t="shared" si="19"/>
        <v>129.30000000000001</v>
      </c>
      <c r="AL25" s="50">
        <f t="shared" si="22"/>
        <v>26.4</v>
      </c>
      <c r="AM25" s="50">
        <f t="shared" si="11"/>
        <v>31.2</v>
      </c>
      <c r="AN25" s="50">
        <f t="shared" si="20"/>
        <v>186.9</v>
      </c>
      <c r="AP25" s="51"/>
    </row>
    <row r="26" spans="1:42" ht="27" customHeight="1" x14ac:dyDescent="0.25">
      <c r="A26" s="23">
        <v>18</v>
      </c>
      <c r="B26" s="55" t="s">
        <v>92</v>
      </c>
      <c r="C26" s="56">
        <v>3</v>
      </c>
      <c r="D26" s="53">
        <v>4.3769999999999998</v>
      </c>
      <c r="E26" s="46">
        <f t="shared" si="13"/>
        <v>13.13</v>
      </c>
      <c r="F26" s="47">
        <f t="shared" si="14"/>
        <v>157.6</v>
      </c>
      <c r="G26" s="24"/>
      <c r="H26" s="24">
        <f>7681.2/1000</f>
        <v>7.7</v>
      </c>
      <c r="I26" s="24"/>
      <c r="J26" s="24"/>
      <c r="K26" s="24"/>
      <c r="L26" s="24">
        <v>105</v>
      </c>
      <c r="M26" s="24">
        <f t="shared" si="0"/>
        <v>270.3</v>
      </c>
      <c r="N26" s="48">
        <v>0.47</v>
      </c>
      <c r="O26" s="24">
        <f t="shared" si="1"/>
        <v>127</v>
      </c>
      <c r="P26" s="24">
        <f t="shared" si="15"/>
        <v>397.3</v>
      </c>
      <c r="Q26" s="24">
        <f t="shared" si="16"/>
        <v>317.8</v>
      </c>
      <c r="R26" s="24">
        <f t="shared" si="2"/>
        <v>317.8</v>
      </c>
      <c r="S26" s="24">
        <f t="shared" si="17"/>
        <v>33.1</v>
      </c>
      <c r="T26" s="49">
        <f t="shared" si="3"/>
        <v>1066</v>
      </c>
      <c r="U26" s="1532"/>
      <c r="V26" s="49">
        <f>T26*$U$9</f>
        <v>1066</v>
      </c>
      <c r="W26" s="49">
        <f t="shared" si="21"/>
        <v>321.89999999999998</v>
      </c>
      <c r="X26" s="23"/>
      <c r="Y26" s="24">
        <v>30</v>
      </c>
      <c r="Z26" s="48">
        <f>X26*Y26</f>
        <v>0</v>
      </c>
      <c r="AA26" s="23"/>
      <c r="AB26" s="24">
        <v>15</v>
      </c>
      <c r="AC26" s="48">
        <f>AA26*AB26</f>
        <v>0</v>
      </c>
      <c r="AD26" s="23"/>
      <c r="AE26" s="24">
        <v>30</v>
      </c>
      <c r="AF26" s="48">
        <f>AD26*AE26</f>
        <v>0</v>
      </c>
      <c r="AG26" s="48">
        <f>(Z26+AC26+AF26)*1%*30</f>
        <v>0</v>
      </c>
      <c r="AH26" s="48">
        <f>Z26+AC26+AF26+AG26</f>
        <v>0</v>
      </c>
      <c r="AI26" s="34">
        <f t="shared" si="9"/>
        <v>29611.1</v>
      </c>
      <c r="AJ26" s="34">
        <f t="shared" si="10"/>
        <v>355.3</v>
      </c>
      <c r="AK26" s="50">
        <f t="shared" si="19"/>
        <v>234.5</v>
      </c>
      <c r="AL26" s="50">
        <f t="shared" si="22"/>
        <v>79.3</v>
      </c>
      <c r="AM26" s="50">
        <f t="shared" si="11"/>
        <v>56.5</v>
      </c>
      <c r="AN26" s="50">
        <f t="shared" si="20"/>
        <v>370.3</v>
      </c>
      <c r="AP26" s="51"/>
    </row>
    <row r="27" spans="1:42" ht="27" customHeight="1" x14ac:dyDescent="0.25">
      <c r="A27" s="23">
        <v>19</v>
      </c>
      <c r="B27" s="44" t="s">
        <v>102</v>
      </c>
      <c r="C27" s="58">
        <v>2</v>
      </c>
      <c r="D27" s="53">
        <v>4.3769999999999998</v>
      </c>
      <c r="E27" s="46">
        <f t="shared" si="13"/>
        <v>8.75</v>
      </c>
      <c r="F27" s="47">
        <f t="shared" si="14"/>
        <v>105</v>
      </c>
      <c r="G27" s="24"/>
      <c r="H27" s="24">
        <f>948.3/1000</f>
        <v>0.9</v>
      </c>
      <c r="I27" s="24"/>
      <c r="J27" s="24"/>
      <c r="K27" s="24"/>
      <c r="L27" s="24">
        <v>72</v>
      </c>
      <c r="M27" s="24">
        <f t="shared" si="0"/>
        <v>177.9</v>
      </c>
      <c r="N27" s="48">
        <v>0.49</v>
      </c>
      <c r="O27" s="24">
        <f t="shared" si="1"/>
        <v>87.2</v>
      </c>
      <c r="P27" s="24">
        <f t="shared" si="15"/>
        <v>265.10000000000002</v>
      </c>
      <c r="Q27" s="24">
        <f t="shared" si="16"/>
        <v>212.1</v>
      </c>
      <c r="R27" s="24">
        <f t="shared" si="2"/>
        <v>212.1</v>
      </c>
      <c r="S27" s="24">
        <f t="shared" si="17"/>
        <v>22.1</v>
      </c>
      <c r="T27" s="49">
        <f t="shared" si="3"/>
        <v>711.4</v>
      </c>
      <c r="U27" s="1532"/>
      <c r="V27" s="49">
        <f>T27*$U$9-0.2</f>
        <v>711.2</v>
      </c>
      <c r="W27" s="49">
        <f>V27*0.302</f>
        <v>214.8</v>
      </c>
      <c r="X27" s="23"/>
      <c r="Y27" s="24">
        <v>30</v>
      </c>
      <c r="Z27" s="48">
        <f>X27*Y27</f>
        <v>0</v>
      </c>
      <c r="AA27" s="23"/>
      <c r="AB27" s="24">
        <v>15</v>
      </c>
      <c r="AC27" s="48">
        <f>AA27*AB27</f>
        <v>0</v>
      </c>
      <c r="AD27" s="23"/>
      <c r="AE27" s="24">
        <v>30</v>
      </c>
      <c r="AF27" s="48">
        <f>AD27*AE27</f>
        <v>0</v>
      </c>
      <c r="AG27" s="48">
        <f>(Z27+AC27+AF27)*1%*30</f>
        <v>0</v>
      </c>
      <c r="AH27" s="48">
        <f>Z27+AC27+AF27+AG27</f>
        <v>0</v>
      </c>
      <c r="AI27" s="34">
        <f t="shared" si="9"/>
        <v>29633.3</v>
      </c>
      <c r="AJ27" s="34">
        <f t="shared" si="10"/>
        <v>355.6</v>
      </c>
      <c r="AK27" s="50">
        <f t="shared" si="19"/>
        <v>156.5</v>
      </c>
      <c r="AL27" s="50">
        <f t="shared" si="22"/>
        <v>52.9</v>
      </c>
      <c r="AM27" s="50">
        <f t="shared" si="11"/>
        <v>37.700000000000003</v>
      </c>
      <c r="AN27" s="50">
        <f t="shared" si="20"/>
        <v>247.1</v>
      </c>
      <c r="AP27" s="51"/>
    </row>
    <row r="28" spans="1:42" s="62" customFormat="1" ht="20.25" customHeight="1" x14ac:dyDescent="0.25">
      <c r="A28" s="1542" t="s">
        <v>97</v>
      </c>
      <c r="B28" s="1543"/>
      <c r="C28" s="59">
        <f t="shared" ref="C28:AH28" si="23">SUM(C9:C27)</f>
        <v>64.5</v>
      </c>
      <c r="D28" s="25">
        <f t="shared" si="23"/>
        <v>181.9</v>
      </c>
      <c r="E28" s="25">
        <f t="shared" si="23"/>
        <v>527.5</v>
      </c>
      <c r="F28" s="25">
        <f t="shared" si="23"/>
        <v>6321.7</v>
      </c>
      <c r="G28" s="25">
        <f t="shared" si="23"/>
        <v>0</v>
      </c>
      <c r="H28" s="25">
        <f>SUM(H9:H27)</f>
        <v>74.400000000000006</v>
      </c>
      <c r="I28" s="25">
        <f t="shared" si="23"/>
        <v>0</v>
      </c>
      <c r="J28" s="25">
        <f t="shared" si="23"/>
        <v>0</v>
      </c>
      <c r="K28" s="25">
        <f t="shared" si="23"/>
        <v>1143.7</v>
      </c>
      <c r="L28" s="25">
        <f t="shared" si="23"/>
        <v>2252.1999999999998</v>
      </c>
      <c r="M28" s="25">
        <f t="shared" si="23"/>
        <v>9792</v>
      </c>
      <c r="N28" s="25">
        <f t="shared" si="23"/>
        <v>9.1999999999999993</v>
      </c>
      <c r="O28" s="25">
        <f t="shared" si="23"/>
        <v>4877.3</v>
      </c>
      <c r="P28" s="25">
        <f t="shared" si="23"/>
        <v>14669.3</v>
      </c>
      <c r="Q28" s="25">
        <f t="shared" si="23"/>
        <v>11735.5</v>
      </c>
      <c r="R28" s="25">
        <f t="shared" si="23"/>
        <v>11735.5</v>
      </c>
      <c r="S28" s="25">
        <f t="shared" si="23"/>
        <v>1220.3</v>
      </c>
      <c r="T28" s="25">
        <f t="shared" si="23"/>
        <v>39360.6</v>
      </c>
      <c r="U28" s="25">
        <f t="shared" si="23"/>
        <v>1</v>
      </c>
      <c r="V28" s="25">
        <f t="shared" si="23"/>
        <v>39360.400000000001</v>
      </c>
      <c r="W28" s="25">
        <f>SUM(W9:W27)</f>
        <v>11654.6</v>
      </c>
      <c r="X28" s="25">
        <f t="shared" si="23"/>
        <v>29</v>
      </c>
      <c r="Y28" s="25">
        <f t="shared" si="23"/>
        <v>570</v>
      </c>
      <c r="Z28" s="25">
        <f t="shared" si="23"/>
        <v>870</v>
      </c>
      <c r="AA28" s="25">
        <f t="shared" si="23"/>
        <v>12</v>
      </c>
      <c r="AB28" s="25">
        <f t="shared" si="23"/>
        <v>285</v>
      </c>
      <c r="AC28" s="25">
        <f t="shared" si="23"/>
        <v>180</v>
      </c>
      <c r="AD28" s="25">
        <f t="shared" si="23"/>
        <v>8</v>
      </c>
      <c r="AE28" s="25">
        <f t="shared" si="23"/>
        <v>570</v>
      </c>
      <c r="AF28" s="25">
        <f t="shared" si="23"/>
        <v>240</v>
      </c>
      <c r="AG28" s="25">
        <f t="shared" si="23"/>
        <v>387</v>
      </c>
      <c r="AH28" s="25">
        <f t="shared" si="23"/>
        <v>1677</v>
      </c>
      <c r="AI28" s="60"/>
      <c r="AJ28" s="61"/>
      <c r="AN28" s="60">
        <f>SUM(AN9:AN27)</f>
        <v>12276.5</v>
      </c>
    </row>
    <row r="29" spans="1:42" s="62" customFormat="1" ht="20.25" customHeight="1" x14ac:dyDescent="0.25">
      <c r="A29" s="63"/>
      <c r="B29" s="63"/>
      <c r="C29" s="26"/>
      <c r="D29" s="26"/>
      <c r="E29" s="26"/>
      <c r="F29" s="26"/>
      <c r="G29" s="26"/>
      <c r="H29" s="26"/>
      <c r="I29" s="26"/>
      <c r="J29" s="26"/>
      <c r="K29" s="26"/>
      <c r="L29" s="26"/>
      <c r="M29" s="26"/>
      <c r="N29" s="26"/>
      <c r="O29" s="26"/>
      <c r="P29" s="26"/>
      <c r="Q29" s="26"/>
      <c r="R29" s="26"/>
      <c r="S29" s="26"/>
      <c r="T29" s="26"/>
      <c r="U29" s="64"/>
      <c r="V29" s="65"/>
      <c r="W29" s="66"/>
      <c r="X29" s="65"/>
      <c r="Y29" s="65"/>
      <c r="Z29" s="65"/>
      <c r="AA29" s="65"/>
      <c r="AB29" s="65"/>
      <c r="AC29" s="65"/>
      <c r="AD29" s="65"/>
      <c r="AE29" s="65"/>
      <c r="AF29" s="65"/>
      <c r="AG29" s="65"/>
      <c r="AH29" s="65"/>
      <c r="AI29" s="67"/>
      <c r="AJ29" s="61"/>
    </row>
    <row r="30" spans="1:42" s="62" customFormat="1" ht="13.8" x14ac:dyDescent="0.25">
      <c r="A30" s="68"/>
      <c r="B30" s="63"/>
      <c r="C30" s="26"/>
      <c r="D30" s="26"/>
      <c r="E30" s="26"/>
      <c r="F30" s="26"/>
      <c r="G30" s="26"/>
      <c r="H30" s="26"/>
      <c r="I30" s="26"/>
      <c r="J30" s="26"/>
      <c r="K30" s="26"/>
      <c r="L30" s="26"/>
      <c r="M30" s="26"/>
      <c r="N30" s="26"/>
      <c r="O30" s="26"/>
      <c r="P30" s="26"/>
      <c r="Q30" s="26"/>
      <c r="R30" s="26"/>
      <c r="S30" s="26"/>
      <c r="T30" s="26"/>
      <c r="U30" s="64"/>
      <c r="V30" s="69"/>
      <c r="W30" s="69"/>
      <c r="X30" s="65"/>
      <c r="Y30" s="65"/>
      <c r="Z30" s="65"/>
      <c r="AA30" s="65"/>
      <c r="AB30" s="65"/>
      <c r="AC30" s="65"/>
      <c r="AD30" s="65"/>
      <c r="AE30" s="65"/>
      <c r="AF30" s="65"/>
      <c r="AG30" s="65"/>
      <c r="AH30" s="65"/>
      <c r="AI30" s="67"/>
      <c r="AJ30" s="61"/>
    </row>
    <row r="31" spans="1:42" s="75" customFormat="1" ht="13.8" x14ac:dyDescent="0.25">
      <c r="A31" s="70"/>
      <c r="B31" s="70"/>
      <c r="C31" s="71"/>
      <c r="D31" s="72"/>
      <c r="E31" s="72"/>
      <c r="F31" s="72"/>
      <c r="G31" s="72"/>
      <c r="H31" s="73"/>
      <c r="I31" s="73"/>
      <c r="J31" s="27"/>
      <c r="K31" s="27"/>
      <c r="L31" s="27"/>
      <c r="M31" s="27"/>
      <c r="N31" s="74"/>
      <c r="O31" s="27"/>
      <c r="P31" s="27"/>
      <c r="Q31" s="27"/>
      <c r="R31" s="27"/>
      <c r="S31" s="27"/>
      <c r="T31" s="27"/>
      <c r="U31" s="27"/>
      <c r="V31" s="27"/>
      <c r="W31" s="27"/>
      <c r="X31" s="27"/>
      <c r="Y31" s="27"/>
      <c r="Z31" s="27"/>
      <c r="AA31" s="27"/>
      <c r="AB31" s="27"/>
      <c r="AC31" s="27"/>
      <c r="AD31" s="27"/>
      <c r="AE31" s="27"/>
      <c r="AF31" s="27"/>
      <c r="AG31" s="27"/>
      <c r="AH31" s="27"/>
      <c r="AI31" s="27"/>
      <c r="AK31" s="76"/>
      <c r="AL31" s="76"/>
      <c r="AM31" s="76"/>
      <c r="AN31" s="76"/>
      <c r="AO31" s="76"/>
    </row>
    <row r="32" spans="1:42" s="75" customFormat="1" ht="39.75" customHeight="1" x14ac:dyDescent="0.25">
      <c r="A32" s="70"/>
      <c r="B32" s="70"/>
      <c r="C32" s="71"/>
      <c r="D32" s="77"/>
      <c r="E32" s="77"/>
      <c r="F32" s="27"/>
      <c r="G32" s="1545" t="s">
        <v>140</v>
      </c>
      <c r="H32" s="1545"/>
      <c r="I32" s="1540" t="s">
        <v>141</v>
      </c>
      <c r="J32" s="1541"/>
      <c r="K32" s="1540" t="s">
        <v>128</v>
      </c>
      <c r="L32" s="1541"/>
      <c r="M32" s="70"/>
      <c r="N32" s="70"/>
      <c r="O32" s="70"/>
      <c r="P32" s="70"/>
      <c r="Q32" s="27"/>
      <c r="R32" s="27"/>
      <c r="S32" s="27"/>
      <c r="T32" s="27"/>
      <c r="U32" s="27"/>
      <c r="V32" s="27"/>
      <c r="W32" s="27"/>
      <c r="X32" s="27"/>
      <c r="Y32" s="27"/>
      <c r="Z32" s="27"/>
      <c r="AA32" s="27"/>
      <c r="AB32" s="27"/>
      <c r="AC32" s="27"/>
      <c r="AD32" s="27"/>
      <c r="AE32" s="27"/>
      <c r="AF32" s="27"/>
      <c r="AG32" s="27"/>
      <c r="AH32" s="27"/>
      <c r="AI32" s="27"/>
      <c r="AK32" s="76"/>
      <c r="AL32" s="76"/>
      <c r="AM32" s="76"/>
      <c r="AN32" s="76"/>
      <c r="AO32" s="76"/>
    </row>
    <row r="33" spans="1:41" s="75" customFormat="1" ht="13.8" x14ac:dyDescent="0.25">
      <c r="A33" s="70"/>
      <c r="B33" s="70"/>
      <c r="C33" s="71"/>
      <c r="D33" s="77"/>
      <c r="E33" s="77"/>
      <c r="F33" s="27"/>
      <c r="G33" s="28">
        <v>991</v>
      </c>
      <c r="H33" s="28">
        <v>992</v>
      </c>
      <c r="I33" s="28">
        <v>991</v>
      </c>
      <c r="J33" s="28">
        <v>992</v>
      </c>
      <c r="K33" s="28">
        <v>991</v>
      </c>
      <c r="L33" s="28">
        <v>992</v>
      </c>
      <c r="M33" s="79"/>
      <c r="N33" s="79"/>
      <c r="O33" s="79"/>
      <c r="P33" s="79"/>
      <c r="Q33" s="27"/>
      <c r="R33" s="27"/>
      <c r="S33" s="27"/>
      <c r="T33" s="27"/>
      <c r="U33" s="27"/>
      <c r="V33" s="27"/>
      <c r="W33" s="27"/>
      <c r="X33" s="27"/>
      <c r="Y33" s="27"/>
      <c r="Z33" s="27"/>
      <c r="AA33" s="27"/>
      <c r="AB33" s="27"/>
      <c r="AC33" s="27"/>
      <c r="AD33" s="27"/>
      <c r="AE33" s="27"/>
      <c r="AF33" s="27"/>
      <c r="AG33" s="27"/>
      <c r="AH33" s="27"/>
      <c r="AI33" s="27"/>
      <c r="AK33" s="76"/>
      <c r="AL33" s="76"/>
      <c r="AM33" s="76"/>
      <c r="AN33" s="76"/>
      <c r="AO33" s="76"/>
    </row>
    <row r="34" spans="1:41" s="75" customFormat="1" ht="13.8" x14ac:dyDescent="0.25">
      <c r="A34" s="70"/>
      <c r="B34" s="70"/>
      <c r="C34" s="71"/>
      <c r="D34" s="77"/>
      <c r="E34" s="77"/>
      <c r="F34" s="27"/>
      <c r="G34" s="29">
        <v>39360.400000000001</v>
      </c>
      <c r="H34" s="29">
        <v>11661.7</v>
      </c>
      <c r="I34" s="29">
        <f>V28</f>
        <v>39360.400000000001</v>
      </c>
      <c r="J34" s="29">
        <f>W28</f>
        <v>11654.6</v>
      </c>
      <c r="K34" s="29">
        <f>G34-I34</f>
        <v>0</v>
      </c>
      <c r="L34" s="29">
        <f>H34-J34</f>
        <v>7.1</v>
      </c>
      <c r="M34" s="80"/>
      <c r="N34" s="80"/>
      <c r="O34" s="80"/>
      <c r="P34" s="80"/>
      <c r="Q34" s="27"/>
      <c r="R34" s="27"/>
      <c r="S34" s="27"/>
      <c r="T34" s="27"/>
      <c r="U34" s="27"/>
      <c r="V34" s="27"/>
      <c r="W34" s="27"/>
      <c r="X34" s="27"/>
      <c r="Y34" s="27"/>
      <c r="Z34" s="27"/>
      <c r="AA34" s="27"/>
      <c r="AB34" s="27"/>
      <c r="AC34" s="27"/>
      <c r="AD34" s="27"/>
      <c r="AE34" s="27"/>
      <c r="AF34" s="27"/>
      <c r="AG34" s="27"/>
      <c r="AH34" s="27"/>
      <c r="AI34" s="27"/>
      <c r="AK34" s="76"/>
      <c r="AL34" s="76"/>
      <c r="AM34" s="76"/>
      <c r="AN34" s="76"/>
      <c r="AO34" s="76"/>
    </row>
    <row r="35" spans="1:41" s="75" customFormat="1" ht="13.8" x14ac:dyDescent="0.25">
      <c r="A35" s="70"/>
      <c r="B35" s="70"/>
      <c r="C35" s="71"/>
      <c r="D35" s="77"/>
      <c r="E35" s="77"/>
      <c r="F35" s="27"/>
      <c r="G35" s="27"/>
      <c r="H35" s="73"/>
      <c r="I35" s="73"/>
      <c r="J35" s="27"/>
      <c r="K35" s="27"/>
      <c r="L35" s="27"/>
      <c r="M35" s="27"/>
      <c r="N35" s="74"/>
      <c r="O35" s="27"/>
      <c r="P35" s="27"/>
      <c r="Q35" s="27"/>
      <c r="R35" s="27"/>
      <c r="S35" s="27"/>
      <c r="T35" s="27"/>
      <c r="U35" s="27"/>
      <c r="V35" s="27"/>
      <c r="W35" s="27"/>
      <c r="X35" s="27"/>
      <c r="Y35" s="27"/>
      <c r="Z35" s="27"/>
      <c r="AA35" s="27"/>
      <c r="AB35" s="27"/>
      <c r="AC35" s="27"/>
      <c r="AD35" s="27"/>
      <c r="AE35" s="27"/>
      <c r="AF35" s="27"/>
      <c r="AG35" s="27"/>
      <c r="AH35" s="27"/>
      <c r="AI35" s="27"/>
      <c r="AK35" s="76"/>
      <c r="AL35" s="76"/>
      <c r="AM35" s="76"/>
      <c r="AN35" s="76"/>
      <c r="AO35" s="76"/>
    </row>
    <row r="36" spans="1:41" s="75" customFormat="1" ht="13.8" x14ac:dyDescent="0.25">
      <c r="A36" s="70"/>
      <c r="B36" s="70"/>
      <c r="C36" s="71"/>
      <c r="D36" s="77"/>
      <c r="E36" s="77"/>
      <c r="F36" s="27"/>
      <c r="G36" s="27"/>
      <c r="H36" s="73"/>
      <c r="I36" s="73"/>
      <c r="J36" s="27"/>
      <c r="K36" s="27"/>
      <c r="L36" s="27"/>
      <c r="M36" s="27"/>
      <c r="N36" s="74"/>
      <c r="O36" s="27"/>
      <c r="P36" s="27"/>
      <c r="Q36" s="27"/>
      <c r="R36" s="27"/>
      <c r="S36" s="27"/>
      <c r="T36" s="27"/>
      <c r="U36" s="27"/>
      <c r="V36" s="27"/>
      <c r="W36" s="27"/>
      <c r="X36" s="27"/>
      <c r="Y36" s="27"/>
      <c r="Z36" s="27"/>
      <c r="AA36" s="27"/>
      <c r="AB36" s="27"/>
      <c r="AC36" s="27"/>
      <c r="AD36" s="27"/>
      <c r="AE36" s="27"/>
      <c r="AF36" s="27"/>
      <c r="AG36" s="27"/>
      <c r="AH36" s="27"/>
      <c r="AI36" s="27"/>
      <c r="AK36" s="76"/>
      <c r="AL36" s="76"/>
      <c r="AM36" s="76"/>
      <c r="AN36" s="76"/>
      <c r="AO36" s="76"/>
    </row>
    <row r="37" spans="1:41" s="35" customFormat="1" ht="21" x14ac:dyDescent="0.25">
      <c r="A37" s="81"/>
      <c r="B37" s="82" t="s">
        <v>138</v>
      </c>
      <c r="C37" s="83"/>
      <c r="D37" s="84"/>
      <c r="E37" s="84"/>
      <c r="F37" s="85"/>
      <c r="G37" s="85"/>
      <c r="H37" s="86"/>
      <c r="I37" s="86"/>
      <c r="J37" s="85"/>
      <c r="K37" s="30" t="s">
        <v>166</v>
      </c>
      <c r="L37" s="85"/>
      <c r="M37" s="85"/>
      <c r="N37" s="87"/>
      <c r="O37" s="85"/>
      <c r="P37" s="85"/>
      <c r="Q37" s="85"/>
      <c r="R37" s="85"/>
      <c r="S37" s="85"/>
      <c r="T37" s="85"/>
      <c r="U37" s="85"/>
      <c r="V37" s="85"/>
      <c r="W37" s="85"/>
      <c r="X37" s="85"/>
      <c r="Y37" s="85"/>
      <c r="Z37" s="85"/>
      <c r="AA37" s="85"/>
      <c r="AB37" s="85"/>
      <c r="AC37" s="85"/>
      <c r="AD37" s="85"/>
      <c r="AE37" s="85"/>
      <c r="AF37" s="85"/>
      <c r="AG37" s="85"/>
      <c r="AH37" s="85"/>
      <c r="AI37" s="85"/>
      <c r="AK37" s="88"/>
      <c r="AL37" s="88"/>
      <c r="AM37" s="88"/>
      <c r="AN37" s="88"/>
      <c r="AO37" s="88"/>
    </row>
    <row r="38" spans="1:41" s="75" customFormat="1" ht="13.8" x14ac:dyDescent="0.25">
      <c r="A38" s="70"/>
      <c r="B38" s="70"/>
      <c r="C38" s="71"/>
      <c r="D38" s="77"/>
      <c r="E38" s="77"/>
      <c r="F38" s="27"/>
      <c r="G38" s="27"/>
      <c r="H38" s="73"/>
      <c r="I38" s="73"/>
      <c r="J38" s="27"/>
      <c r="K38" s="27"/>
      <c r="L38" s="27"/>
      <c r="M38" s="27"/>
      <c r="N38" s="74"/>
      <c r="O38" s="27"/>
      <c r="P38" s="27"/>
      <c r="Q38" s="27"/>
      <c r="R38" s="27"/>
      <c r="S38" s="27"/>
      <c r="T38" s="27"/>
      <c r="U38" s="27"/>
      <c r="V38" s="27"/>
      <c r="W38" s="27"/>
      <c r="X38" s="27"/>
      <c r="Y38" s="27"/>
      <c r="Z38" s="27"/>
      <c r="AA38" s="27"/>
      <c r="AB38" s="27"/>
      <c r="AC38" s="27"/>
      <c r="AD38" s="27"/>
      <c r="AE38" s="27"/>
      <c r="AF38" s="27"/>
      <c r="AG38" s="27"/>
      <c r="AH38" s="27"/>
      <c r="AI38" s="27"/>
      <c r="AK38" s="76"/>
      <c r="AL38" s="76"/>
      <c r="AM38" s="76"/>
      <c r="AN38" s="76"/>
      <c r="AO38" s="76"/>
    </row>
    <row r="39" spans="1:41" s="75" customFormat="1" ht="20.25" customHeight="1" x14ac:dyDescent="0.25">
      <c r="A39" s="89" t="s">
        <v>96</v>
      </c>
      <c r="B39" s="89"/>
      <c r="C39" s="31"/>
      <c r="D39" s="31"/>
      <c r="E39" s="31"/>
      <c r="F39" s="31"/>
      <c r="G39" s="31"/>
      <c r="H39" s="31"/>
      <c r="I39" s="31"/>
      <c r="J39" s="31"/>
      <c r="K39" s="31"/>
      <c r="L39" s="90"/>
      <c r="M39" s="90"/>
      <c r="N39" s="91"/>
      <c r="O39" s="90"/>
      <c r="P39" s="90"/>
      <c r="Q39" s="90"/>
      <c r="R39" s="90"/>
      <c r="S39" s="90"/>
      <c r="T39" s="90"/>
      <c r="U39" s="90"/>
      <c r="V39" s="90"/>
      <c r="W39" s="90"/>
      <c r="X39" s="90"/>
      <c r="Y39" s="90"/>
      <c r="Z39" s="90"/>
      <c r="AA39" s="90"/>
      <c r="AB39" s="90"/>
      <c r="AC39" s="90"/>
      <c r="AD39" s="90"/>
      <c r="AE39" s="90"/>
      <c r="AF39" s="90"/>
      <c r="AG39" s="90"/>
      <c r="AH39" s="90"/>
      <c r="AI39" s="90"/>
      <c r="AK39" s="76"/>
      <c r="AL39" s="76"/>
      <c r="AM39" s="76"/>
      <c r="AN39" s="76"/>
      <c r="AO39" s="76"/>
    </row>
    <row r="40" spans="1:41" s="75" customFormat="1" ht="20.25" customHeight="1" x14ac:dyDescent="0.25">
      <c r="A40" s="89" t="s">
        <v>139</v>
      </c>
      <c r="B40" s="92"/>
      <c r="C40" s="93"/>
      <c r="D40" s="93"/>
      <c r="E40" s="32"/>
      <c r="F40" s="32"/>
      <c r="G40" s="32"/>
      <c r="H40" s="32"/>
      <c r="I40" s="32"/>
      <c r="J40" s="32"/>
      <c r="K40" s="32"/>
      <c r="L40" s="90"/>
      <c r="M40" s="90"/>
      <c r="N40" s="90"/>
      <c r="O40" s="90"/>
      <c r="P40" s="90"/>
      <c r="Q40" s="90"/>
      <c r="R40" s="90"/>
      <c r="S40" s="90"/>
      <c r="T40" s="90"/>
      <c r="U40" s="90"/>
      <c r="V40" s="90"/>
      <c r="W40" s="90"/>
      <c r="X40" s="90"/>
      <c r="Y40" s="90"/>
      <c r="Z40" s="90"/>
      <c r="AA40" s="90"/>
      <c r="AB40" s="90"/>
      <c r="AC40" s="90"/>
      <c r="AD40" s="90"/>
      <c r="AE40" s="90"/>
      <c r="AF40" s="90"/>
      <c r="AG40" s="90"/>
      <c r="AH40" s="90"/>
      <c r="AI40" s="90"/>
      <c r="AK40" s="76"/>
      <c r="AL40" s="76"/>
      <c r="AM40" s="76"/>
      <c r="AN40" s="76"/>
      <c r="AO40" s="76"/>
    </row>
    <row r="41" spans="1:41" ht="15.6" x14ac:dyDescent="0.25">
      <c r="A41" s="1544"/>
      <c r="B41" s="1544"/>
      <c r="C41" s="1544"/>
    </row>
    <row r="43" spans="1:41" x14ac:dyDescent="0.25">
      <c r="E43" s="51"/>
    </row>
    <row r="44" spans="1:41" x14ac:dyDescent="0.25">
      <c r="E44" s="51"/>
    </row>
    <row r="45" spans="1:41" x14ac:dyDescent="0.25">
      <c r="E45" s="51"/>
    </row>
    <row r="46" spans="1:41" x14ac:dyDescent="0.25">
      <c r="E46" s="51"/>
    </row>
    <row r="47" spans="1:41" x14ac:dyDescent="0.25">
      <c r="E47" s="51"/>
    </row>
    <row r="48" spans="1:41" x14ac:dyDescent="0.25">
      <c r="E48" s="51"/>
    </row>
    <row r="49" spans="5:5" x14ac:dyDescent="0.25">
      <c r="E49" s="51"/>
    </row>
    <row r="50" spans="5:5" x14ac:dyDescent="0.25">
      <c r="E50" s="51"/>
    </row>
    <row r="51" spans="5:5" x14ac:dyDescent="0.25">
      <c r="E51" s="51"/>
    </row>
    <row r="52" spans="5:5" x14ac:dyDescent="0.25">
      <c r="E52" s="51"/>
    </row>
    <row r="53" spans="5:5" x14ac:dyDescent="0.25">
      <c r="E53" s="51"/>
    </row>
    <row r="54" spans="5:5" x14ac:dyDescent="0.25">
      <c r="E54" s="51"/>
    </row>
    <row r="55" spans="5:5" x14ac:dyDescent="0.25">
      <c r="E55" s="51"/>
    </row>
    <row r="56" spans="5:5" x14ac:dyDescent="0.25">
      <c r="E56" s="51"/>
    </row>
    <row r="57" spans="5:5" x14ac:dyDescent="0.25">
      <c r="E57" s="51"/>
    </row>
    <row r="58" spans="5:5" x14ac:dyDescent="0.25">
      <c r="E58" s="51"/>
    </row>
    <row r="59" spans="5:5" x14ac:dyDescent="0.25">
      <c r="E59" s="51"/>
    </row>
    <row r="60" spans="5:5" x14ac:dyDescent="0.25">
      <c r="E60" s="51"/>
    </row>
    <row r="61" spans="5:5" x14ac:dyDescent="0.25">
      <c r="E61" s="51"/>
    </row>
    <row r="62" spans="5:5" x14ac:dyDescent="0.25">
      <c r="E62" s="51"/>
    </row>
    <row r="63" spans="5:5" x14ac:dyDescent="0.25">
      <c r="E63" s="51"/>
    </row>
    <row r="64" spans="5:5" x14ac:dyDescent="0.25">
      <c r="E64" s="51"/>
    </row>
    <row r="65" spans="5:5" x14ac:dyDescent="0.25">
      <c r="E65" s="51"/>
    </row>
    <row r="66" spans="5:5" x14ac:dyDescent="0.25">
      <c r="E66" s="51"/>
    </row>
    <row r="67" spans="5:5" x14ac:dyDescent="0.25">
      <c r="E67" s="51"/>
    </row>
    <row r="68" spans="5:5" x14ac:dyDescent="0.25">
      <c r="E68" s="51"/>
    </row>
    <row r="69" spans="5:5" x14ac:dyDescent="0.25">
      <c r="E69" s="51"/>
    </row>
    <row r="70" spans="5:5" x14ac:dyDescent="0.25">
      <c r="E70" s="51"/>
    </row>
    <row r="71" spans="5:5" x14ac:dyDescent="0.25">
      <c r="E71" s="51"/>
    </row>
    <row r="72" spans="5:5" x14ac:dyDescent="0.25">
      <c r="E72" s="51"/>
    </row>
    <row r="73" spans="5:5" x14ac:dyDescent="0.25">
      <c r="E73" s="51"/>
    </row>
    <row r="74" spans="5:5" x14ac:dyDescent="0.25">
      <c r="E74" s="51"/>
    </row>
  </sheetData>
  <autoFilter ref="A8:AP30"/>
  <mergeCells count="38">
    <mergeCell ref="A28:B28"/>
    <mergeCell ref="T6:T7"/>
    <mergeCell ref="X5:AH5"/>
    <mergeCell ref="A41:C41"/>
    <mergeCell ref="G32:H32"/>
    <mergeCell ref="AA6:AC6"/>
    <mergeCell ref="R6:R7"/>
    <mergeCell ref="F6:F7"/>
    <mergeCell ref="G6:G7"/>
    <mergeCell ref="H6:H7"/>
    <mergeCell ref="I6:I7"/>
    <mergeCell ref="J6:J7"/>
    <mergeCell ref="L6:L7"/>
    <mergeCell ref="M6:M7"/>
    <mergeCell ref="N6:O6"/>
    <mergeCell ref="X6:Z6"/>
    <mergeCell ref="V6:V7"/>
    <mergeCell ref="P6:P7"/>
    <mergeCell ref="Q6:Q7"/>
    <mergeCell ref="I32:J32"/>
    <mergeCell ref="K32:L32"/>
    <mergeCell ref="K6:K7"/>
    <mergeCell ref="W6:W7"/>
    <mergeCell ref="U9:U27"/>
    <mergeCell ref="S6:S7"/>
    <mergeCell ref="U6:U7"/>
    <mergeCell ref="AE1:AH1"/>
    <mergeCell ref="A2:AH2"/>
    <mergeCell ref="A3:AH3"/>
    <mergeCell ref="A5:A7"/>
    <mergeCell ref="B5:B7"/>
    <mergeCell ref="C5:C7"/>
    <mergeCell ref="D5:W5"/>
    <mergeCell ref="D6:D7"/>
    <mergeCell ref="E6:E7"/>
    <mergeCell ref="AD6:AF6"/>
    <mergeCell ref="AG6:AG7"/>
    <mergeCell ref="AH6:AH7"/>
  </mergeCells>
  <printOptions horizontalCentered="1"/>
  <pageMargins left="0.25" right="0.25" top="0.75" bottom="0.75" header="0.3" footer="0.3"/>
  <pageSetup paperSize="9" scale="33" orientation="landscape" r:id="rId1"/>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S43"/>
  <sheetViews>
    <sheetView view="pageBreakPreview" zoomScale="80" zoomScaleSheetLayoutView="80" workbookViewId="0">
      <pane xSplit="3" ySplit="8" topLeftCell="U9"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2" x14ac:dyDescent="0.25"/>
  <cols>
    <col min="1" max="1" width="12.77734375" style="98" customWidth="1"/>
    <col min="2" max="2" width="30.77734375" style="99" customWidth="1"/>
    <col min="3" max="3" width="13.77734375" style="99" customWidth="1"/>
    <col min="4" max="4" width="11.44140625" style="99" customWidth="1"/>
    <col min="5" max="5" width="13" style="99" customWidth="1"/>
    <col min="6" max="6" width="14.6640625" style="99" customWidth="1"/>
    <col min="7" max="8" width="13.109375" style="99" customWidth="1"/>
    <col min="9" max="9" width="11.6640625" style="99" customWidth="1"/>
    <col min="10" max="10" width="16.77734375" style="99" customWidth="1"/>
    <col min="11" max="11" width="12" style="99" customWidth="1"/>
    <col min="12" max="17" width="11.44140625" style="100" customWidth="1"/>
    <col min="18" max="18" width="14.109375" style="99" customWidth="1"/>
    <col min="19" max="19" width="15.44140625" style="99" customWidth="1"/>
    <col min="20" max="20" width="12.33203125" style="99" customWidth="1"/>
    <col min="21" max="21" width="11.6640625" style="99" customWidth="1"/>
    <col min="22" max="23" width="12" style="99" customWidth="1"/>
    <col min="24" max="24" width="12.6640625" style="99" customWidth="1"/>
    <col min="25" max="25" width="12" style="99" customWidth="1"/>
    <col min="26" max="26" width="9.6640625" style="99" customWidth="1"/>
    <col min="27" max="31" width="8.44140625" style="99" customWidth="1"/>
    <col min="32" max="32" width="9.6640625" style="99" customWidth="1"/>
    <col min="33" max="33" width="9.33203125" style="99" customWidth="1"/>
    <col min="34" max="34" width="12" style="99" customWidth="1"/>
    <col min="35" max="36" width="11.109375" style="99" customWidth="1"/>
    <col min="37" max="37" width="12.6640625" style="99" customWidth="1"/>
    <col min="38" max="38" width="11.77734375" style="99" hidden="1" customWidth="1"/>
    <col min="39" max="39" width="13" style="99" hidden="1" customWidth="1"/>
    <col min="40" max="42" width="9.33203125" style="22"/>
    <col min="43" max="43" width="11.33203125" style="22" bestFit="1" customWidth="1"/>
    <col min="44" max="16384" width="9.33203125" style="99"/>
  </cols>
  <sheetData>
    <row r="1" spans="1:45" ht="21" customHeight="1" x14ac:dyDescent="0.25">
      <c r="AE1" s="1546"/>
      <c r="AF1" s="1546"/>
      <c r="AG1" s="1546"/>
      <c r="AH1" s="1546"/>
    </row>
    <row r="2" spans="1:45" ht="24" customHeight="1" x14ac:dyDescent="0.25">
      <c r="A2" s="1547" t="s">
        <v>156</v>
      </c>
      <c r="B2" s="1547"/>
      <c r="C2" s="1547"/>
      <c r="D2" s="1547"/>
      <c r="E2" s="1547"/>
      <c r="F2" s="1547"/>
      <c r="G2" s="1547"/>
      <c r="H2" s="1547"/>
      <c r="I2" s="1547"/>
      <c r="J2" s="1547"/>
      <c r="K2" s="1547"/>
      <c r="L2" s="1547"/>
      <c r="M2" s="1547"/>
      <c r="N2" s="1547"/>
      <c r="O2" s="1547"/>
      <c r="P2" s="1547"/>
      <c r="Q2" s="1547"/>
      <c r="R2" s="1547"/>
      <c r="S2" s="1547"/>
      <c r="T2" s="1547"/>
      <c r="U2" s="1547"/>
      <c r="V2" s="1547"/>
      <c r="W2" s="1547"/>
      <c r="X2" s="1547"/>
      <c r="Y2" s="1547"/>
      <c r="Z2" s="1547"/>
      <c r="AA2" s="1547"/>
      <c r="AB2" s="1547"/>
      <c r="AC2" s="1547"/>
      <c r="AD2" s="1547"/>
      <c r="AE2" s="1547"/>
      <c r="AF2" s="1547"/>
      <c r="AG2" s="1547"/>
      <c r="AH2" s="1547"/>
    </row>
    <row r="3" spans="1:45" ht="24.75" customHeight="1" x14ac:dyDescent="0.25">
      <c r="A3" s="1548"/>
      <c r="B3" s="1548"/>
      <c r="C3" s="1548"/>
      <c r="D3" s="1548"/>
      <c r="E3" s="1548"/>
      <c r="F3" s="1548"/>
      <c r="G3" s="1548"/>
      <c r="H3" s="1548"/>
      <c r="I3" s="1548"/>
      <c r="J3" s="1548"/>
      <c r="K3" s="1548"/>
      <c r="L3" s="1548"/>
      <c r="M3" s="1548"/>
      <c r="N3" s="1548"/>
      <c r="O3" s="1548"/>
      <c r="P3" s="1548"/>
      <c r="Q3" s="1548"/>
      <c r="R3" s="1548"/>
      <c r="S3" s="1548"/>
      <c r="T3" s="1548"/>
      <c r="U3" s="1548"/>
      <c r="V3" s="1548"/>
      <c r="W3" s="1548"/>
      <c r="X3" s="1548"/>
      <c r="Y3" s="1548"/>
      <c r="Z3" s="1548"/>
      <c r="AA3" s="1548"/>
      <c r="AB3" s="1548"/>
      <c r="AC3" s="1548"/>
      <c r="AD3" s="1548"/>
      <c r="AE3" s="1548"/>
      <c r="AF3" s="1548"/>
      <c r="AG3" s="1548"/>
      <c r="AH3" s="1548"/>
    </row>
    <row r="4" spans="1:45" x14ac:dyDescent="0.25">
      <c r="L4" s="102">
        <v>3.8399999999999997E-2</v>
      </c>
    </row>
    <row r="5" spans="1:45" ht="38.25" customHeight="1" x14ac:dyDescent="0.25">
      <c r="A5" s="1549" t="s">
        <v>78</v>
      </c>
      <c r="B5" s="1549" t="s">
        <v>77</v>
      </c>
      <c r="C5" s="1550" t="s">
        <v>0</v>
      </c>
      <c r="D5" s="1550" t="s">
        <v>3</v>
      </c>
      <c r="E5" s="1550"/>
      <c r="F5" s="1550"/>
      <c r="G5" s="1550"/>
      <c r="H5" s="1550"/>
      <c r="I5" s="1550"/>
      <c r="J5" s="1550"/>
      <c r="K5" s="1550"/>
      <c r="L5" s="1550"/>
      <c r="M5" s="1550"/>
      <c r="N5" s="1550"/>
      <c r="O5" s="1550"/>
      <c r="P5" s="1550"/>
      <c r="Q5" s="1550"/>
      <c r="R5" s="1550"/>
      <c r="S5" s="1550"/>
      <c r="T5" s="1550"/>
      <c r="U5" s="1550"/>
      <c r="V5" s="1550"/>
      <c r="W5" s="1550"/>
      <c r="X5" s="1550" t="s">
        <v>4</v>
      </c>
      <c r="Y5" s="1550"/>
      <c r="Z5" s="1550"/>
      <c r="AA5" s="1550"/>
      <c r="AB5" s="1550"/>
      <c r="AC5" s="1550"/>
      <c r="AD5" s="1550"/>
      <c r="AE5" s="1550"/>
      <c r="AF5" s="1550"/>
      <c r="AG5" s="1550"/>
      <c r="AH5" s="1550"/>
    </row>
    <row r="6" spans="1:45" ht="60" customHeight="1" x14ac:dyDescent="0.25">
      <c r="A6" s="1549"/>
      <c r="B6" s="1549"/>
      <c r="C6" s="1550"/>
      <c r="D6" s="1551" t="s">
        <v>79</v>
      </c>
      <c r="E6" s="1551" t="s">
        <v>69</v>
      </c>
      <c r="F6" s="1551" t="s">
        <v>89</v>
      </c>
      <c r="G6" s="1551" t="s">
        <v>1</v>
      </c>
      <c r="H6" s="1551" t="s">
        <v>2</v>
      </c>
      <c r="I6" s="1551" t="s">
        <v>70</v>
      </c>
      <c r="J6" s="1551" t="s">
        <v>61</v>
      </c>
      <c r="K6" s="1551" t="s">
        <v>27</v>
      </c>
      <c r="L6" s="1553" t="s">
        <v>65</v>
      </c>
      <c r="M6" s="1553" t="s">
        <v>86</v>
      </c>
      <c r="N6" s="1554" t="s">
        <v>91</v>
      </c>
      <c r="O6" s="1554"/>
      <c r="P6" s="1554" t="s">
        <v>88</v>
      </c>
      <c r="Q6" s="1553" t="s">
        <v>82</v>
      </c>
      <c r="R6" s="1551" t="s">
        <v>83</v>
      </c>
      <c r="S6" s="1553" t="s">
        <v>87</v>
      </c>
      <c r="T6" s="1551" t="s">
        <v>84</v>
      </c>
      <c r="U6" s="1551" t="s">
        <v>9</v>
      </c>
      <c r="V6" s="1551" t="s">
        <v>7</v>
      </c>
      <c r="W6" s="1551" t="s">
        <v>85</v>
      </c>
      <c r="X6" s="1550" t="s">
        <v>10</v>
      </c>
      <c r="Y6" s="1550"/>
      <c r="Z6" s="1550"/>
      <c r="AA6" s="1550" t="s">
        <v>11</v>
      </c>
      <c r="AB6" s="1550"/>
      <c r="AC6" s="1550"/>
      <c r="AD6" s="1550" t="s">
        <v>12</v>
      </c>
      <c r="AE6" s="1550"/>
      <c r="AF6" s="1550"/>
      <c r="AG6" s="1550" t="s">
        <v>13</v>
      </c>
      <c r="AH6" s="1550" t="s">
        <v>73</v>
      </c>
    </row>
    <row r="7" spans="1:45" ht="97.5" customHeight="1" x14ac:dyDescent="0.25">
      <c r="A7" s="1549"/>
      <c r="B7" s="1549"/>
      <c r="C7" s="1550"/>
      <c r="D7" s="1551"/>
      <c r="E7" s="1551"/>
      <c r="F7" s="1551"/>
      <c r="G7" s="1551"/>
      <c r="H7" s="1551"/>
      <c r="I7" s="1551"/>
      <c r="J7" s="1551"/>
      <c r="K7" s="1551"/>
      <c r="L7" s="1553" t="s">
        <v>66</v>
      </c>
      <c r="M7" s="1553"/>
      <c r="N7" s="286" t="s">
        <v>80</v>
      </c>
      <c r="O7" s="286" t="s">
        <v>81</v>
      </c>
      <c r="P7" s="1554"/>
      <c r="Q7" s="1553"/>
      <c r="R7" s="1551"/>
      <c r="S7" s="1553" t="s">
        <v>67</v>
      </c>
      <c r="T7" s="1551"/>
      <c r="U7" s="1551"/>
      <c r="V7" s="1551"/>
      <c r="W7" s="1551"/>
      <c r="X7" s="285" t="s">
        <v>5</v>
      </c>
      <c r="Y7" s="285" t="s">
        <v>6</v>
      </c>
      <c r="Z7" s="285" t="s">
        <v>74</v>
      </c>
      <c r="AA7" s="285" t="s">
        <v>5</v>
      </c>
      <c r="AB7" s="285" t="s">
        <v>6</v>
      </c>
      <c r="AC7" s="285" t="s">
        <v>75</v>
      </c>
      <c r="AD7" s="285" t="s">
        <v>5</v>
      </c>
      <c r="AE7" s="285" t="s">
        <v>6</v>
      </c>
      <c r="AF7" s="285" t="s">
        <v>76</v>
      </c>
      <c r="AG7" s="1550"/>
      <c r="AH7" s="1550"/>
      <c r="AK7" s="98" t="s">
        <v>64</v>
      </c>
      <c r="AL7" s="98" t="s">
        <v>62</v>
      </c>
      <c r="AM7" s="98" t="s">
        <v>63</v>
      </c>
    </row>
    <row r="8" spans="1:45" x14ac:dyDescent="0.25">
      <c r="A8" s="284">
        <v>1</v>
      </c>
      <c r="B8" s="284">
        <v>2</v>
      </c>
      <c r="C8" s="284">
        <v>3</v>
      </c>
      <c r="D8" s="284">
        <v>4</v>
      </c>
      <c r="E8" s="284">
        <v>5</v>
      </c>
      <c r="F8" s="284">
        <v>6</v>
      </c>
      <c r="G8" s="284">
        <v>7</v>
      </c>
      <c r="H8" s="284">
        <v>8</v>
      </c>
      <c r="I8" s="284">
        <v>9</v>
      </c>
      <c r="J8" s="284">
        <v>10</v>
      </c>
      <c r="K8" s="284">
        <v>11</v>
      </c>
      <c r="L8" s="284">
        <v>12</v>
      </c>
      <c r="M8" s="284">
        <v>13</v>
      </c>
      <c r="N8" s="284">
        <v>14</v>
      </c>
      <c r="O8" s="284">
        <v>15</v>
      </c>
      <c r="P8" s="284">
        <v>16</v>
      </c>
      <c r="Q8" s="284">
        <v>17</v>
      </c>
      <c r="R8" s="284">
        <v>18</v>
      </c>
      <c r="S8" s="284">
        <v>19</v>
      </c>
      <c r="T8" s="284">
        <v>20</v>
      </c>
      <c r="U8" s="284">
        <v>21</v>
      </c>
      <c r="V8" s="284">
        <v>22</v>
      </c>
      <c r="W8" s="284">
        <v>23</v>
      </c>
      <c r="X8" s="284">
        <v>24</v>
      </c>
      <c r="Y8" s="284">
        <v>25</v>
      </c>
      <c r="Z8" s="284">
        <v>26</v>
      </c>
      <c r="AA8" s="284">
        <v>27</v>
      </c>
      <c r="AB8" s="284">
        <v>28</v>
      </c>
      <c r="AC8" s="284">
        <v>29</v>
      </c>
      <c r="AD8" s="284">
        <v>30</v>
      </c>
      <c r="AE8" s="284">
        <v>31</v>
      </c>
      <c r="AF8" s="284">
        <v>32</v>
      </c>
      <c r="AG8" s="284">
        <v>33</v>
      </c>
      <c r="AH8" s="284">
        <v>34</v>
      </c>
      <c r="AN8" s="43" t="s">
        <v>116</v>
      </c>
      <c r="AO8" s="43" t="s">
        <v>117</v>
      </c>
      <c r="AP8" s="43" t="s">
        <v>118</v>
      </c>
      <c r="AQ8" s="43" t="s">
        <v>119</v>
      </c>
    </row>
    <row r="9" spans="1:45" ht="16.5" customHeight="1" x14ac:dyDescent="0.25">
      <c r="A9" s="284">
        <v>1</v>
      </c>
      <c r="B9" s="106" t="s">
        <v>21</v>
      </c>
      <c r="C9" s="284">
        <v>1</v>
      </c>
      <c r="D9" s="107">
        <v>22.465</v>
      </c>
      <c r="E9" s="108">
        <f t="shared" ref="E9:E20" si="0">C9*D9</f>
        <v>22.47</v>
      </c>
      <c r="F9" s="109">
        <f t="shared" ref="F9:F19" si="1">E9*12</f>
        <v>269.60000000000002</v>
      </c>
      <c r="G9" s="110"/>
      <c r="H9" s="110"/>
      <c r="I9" s="110"/>
      <c r="J9" s="110"/>
      <c r="K9" s="95">
        <f>D9*0.2*5+D9*0.25*7</f>
        <v>61.8</v>
      </c>
      <c r="L9" s="95">
        <f>$L$4*F9</f>
        <v>10.4</v>
      </c>
      <c r="M9" s="95">
        <f t="shared" ref="M9:M19" si="2">F9+G9+H9+I9+J9+K9+L9</f>
        <v>341.8</v>
      </c>
      <c r="N9" s="111">
        <v>0.47</v>
      </c>
      <c r="O9" s="95">
        <f t="shared" ref="O9:O19" si="3">M9*N9</f>
        <v>160.6</v>
      </c>
      <c r="P9" s="95">
        <f t="shared" ref="P9:P19" si="4">M9+O9</f>
        <v>502.4</v>
      </c>
      <c r="Q9" s="95">
        <f t="shared" ref="Q9:Q19" si="5">P9*0.8</f>
        <v>401.9</v>
      </c>
      <c r="R9" s="95">
        <f t="shared" ref="R9:R19" si="6">P9*0.8</f>
        <v>401.9</v>
      </c>
      <c r="S9" s="95">
        <f t="shared" ref="S9:S19" si="7">(P9+Q9+R9)*0.032</f>
        <v>41.8</v>
      </c>
      <c r="T9" s="95">
        <f>P9+Q9+R9+S9</f>
        <v>1348</v>
      </c>
      <c r="U9" s="1555">
        <v>1</v>
      </c>
      <c r="V9" s="95">
        <f>T9*$U$9</f>
        <v>1348</v>
      </c>
      <c r="W9" s="95">
        <f>AQ9</f>
        <v>369.3</v>
      </c>
      <c r="X9" s="284">
        <v>1</v>
      </c>
      <c r="Y9" s="112">
        <v>30</v>
      </c>
      <c r="Z9" s="113">
        <f t="shared" ref="Z9:Z20" si="8">X9*Y9</f>
        <v>30</v>
      </c>
      <c r="AA9" s="284"/>
      <c r="AB9" s="112">
        <v>15</v>
      </c>
      <c r="AC9" s="113">
        <f t="shared" ref="AC9:AC20" si="9">AA9*AB9</f>
        <v>0</v>
      </c>
      <c r="AD9" s="284"/>
      <c r="AE9" s="112">
        <v>30</v>
      </c>
      <c r="AF9" s="113">
        <f>AD9*AE9</f>
        <v>0</v>
      </c>
      <c r="AG9" s="113">
        <f>(Z9+AC9+AF9)*1%*30</f>
        <v>9</v>
      </c>
      <c r="AH9" s="113">
        <f>Z9+AC9+AF9+AG9</f>
        <v>39</v>
      </c>
      <c r="AI9" s="114">
        <f t="shared" ref="AI9:AI19" si="10">V9/12/C9*1000</f>
        <v>112333.3</v>
      </c>
      <c r="AJ9" s="114"/>
      <c r="AK9" s="114">
        <f t="shared" ref="AK9:AK20" si="11">V9/C9</f>
        <v>1348</v>
      </c>
      <c r="AL9" s="114">
        <f>((979*0.302)+((AK9-979)*0.182))</f>
        <v>362.8</v>
      </c>
      <c r="AM9" s="115">
        <f>AL9/AK9</f>
        <v>0.26900000000000002</v>
      </c>
      <c r="AN9" s="50">
        <f>1150*0.22*C9+(V9-1150*C9)*0.1</f>
        <v>272.8</v>
      </c>
      <c r="AO9" s="116">
        <f>865*0.029</f>
        <v>25.1</v>
      </c>
      <c r="AP9" s="116">
        <f>AK9*0.053</f>
        <v>71.400000000000006</v>
      </c>
      <c r="AQ9" s="50">
        <f>SUM(AN9:AP9)</f>
        <v>369.3</v>
      </c>
      <c r="AS9" s="115"/>
    </row>
    <row r="10" spans="1:45" ht="13.8" x14ac:dyDescent="0.25">
      <c r="A10" s="284">
        <v>2</v>
      </c>
      <c r="B10" s="106" t="s">
        <v>125</v>
      </c>
      <c r="C10" s="284">
        <v>1</v>
      </c>
      <c r="D10" s="107">
        <v>17.972000000000001</v>
      </c>
      <c r="E10" s="108">
        <f t="shared" si="0"/>
        <v>17.97</v>
      </c>
      <c r="F10" s="109">
        <f t="shared" si="1"/>
        <v>215.6</v>
      </c>
      <c r="G10" s="110"/>
      <c r="H10" s="110"/>
      <c r="I10" s="110"/>
      <c r="J10" s="110"/>
      <c r="K10" s="95">
        <f>F10*0.3</f>
        <v>64.7</v>
      </c>
      <c r="L10" s="95">
        <f t="shared" ref="L10:L20" si="12">$L$4*F10</f>
        <v>8.3000000000000007</v>
      </c>
      <c r="M10" s="95">
        <f t="shared" si="2"/>
        <v>288.60000000000002</v>
      </c>
      <c r="N10" s="111">
        <v>0.47</v>
      </c>
      <c r="O10" s="95">
        <f t="shared" si="3"/>
        <v>135.6</v>
      </c>
      <c r="P10" s="95">
        <f t="shared" si="4"/>
        <v>424.2</v>
      </c>
      <c r="Q10" s="95">
        <f t="shared" si="5"/>
        <v>339.4</v>
      </c>
      <c r="R10" s="95">
        <f t="shared" si="6"/>
        <v>339.4</v>
      </c>
      <c r="S10" s="95">
        <f t="shared" si="7"/>
        <v>35.299999999999997</v>
      </c>
      <c r="T10" s="95">
        <f t="shared" ref="T10:T19" si="13">P10+Q10+R10+S10</f>
        <v>1138.3</v>
      </c>
      <c r="U10" s="1556"/>
      <c r="V10" s="95">
        <f>T10*$U$9</f>
        <v>1138.3</v>
      </c>
      <c r="W10" s="95">
        <f>AQ10</f>
        <v>337.2</v>
      </c>
      <c r="X10" s="284"/>
      <c r="Y10" s="112">
        <v>30</v>
      </c>
      <c r="Z10" s="113">
        <f t="shared" si="8"/>
        <v>0</v>
      </c>
      <c r="AA10" s="284"/>
      <c r="AB10" s="112">
        <v>15</v>
      </c>
      <c r="AC10" s="113">
        <f t="shared" si="9"/>
        <v>0</v>
      </c>
      <c r="AD10" s="284"/>
      <c r="AE10" s="112">
        <v>30</v>
      </c>
      <c r="AF10" s="113">
        <f t="shared" ref="AF10:AF20" si="14">AD10*AE10</f>
        <v>0</v>
      </c>
      <c r="AG10" s="113">
        <f t="shared" ref="AG10:AG20" si="15">(Z10+AC10+AF10)*1%*30</f>
        <v>0</v>
      </c>
      <c r="AH10" s="113">
        <f t="shared" ref="AH10:AH20" si="16">Z10+AC10+AF10+AG10</f>
        <v>0</v>
      </c>
      <c r="AI10" s="114">
        <f t="shared" si="10"/>
        <v>94858.3</v>
      </c>
      <c r="AJ10" s="114"/>
      <c r="AK10" s="114">
        <f t="shared" si="11"/>
        <v>1138.3</v>
      </c>
      <c r="AL10" s="114">
        <f t="shared" ref="AL10:AL20" si="17">((979*0.302)+((AK10-979)*0.182))</f>
        <v>324.7</v>
      </c>
      <c r="AM10" s="115">
        <f>AL10/AK10</f>
        <v>0.28499999999999998</v>
      </c>
      <c r="AN10" s="50">
        <f>1150*0.22*C10+(V10-1150*C10)*0.1</f>
        <v>251.8</v>
      </c>
      <c r="AO10" s="116">
        <f>865*0.029</f>
        <v>25.1</v>
      </c>
      <c r="AP10" s="116">
        <f>AK10*0.053</f>
        <v>60.3</v>
      </c>
      <c r="AQ10" s="50">
        <f>SUM(AN10:AP10)</f>
        <v>337.2</v>
      </c>
      <c r="AS10" s="115"/>
    </row>
    <row r="11" spans="1:45" ht="13.8" x14ac:dyDescent="0.25">
      <c r="A11" s="284">
        <v>3</v>
      </c>
      <c r="B11" s="117" t="s">
        <v>29</v>
      </c>
      <c r="C11" s="118">
        <v>1</v>
      </c>
      <c r="D11" s="107">
        <v>8.4730000000000008</v>
      </c>
      <c r="E11" s="119">
        <f t="shared" si="0"/>
        <v>8.4700000000000006</v>
      </c>
      <c r="F11" s="110">
        <f t="shared" si="1"/>
        <v>101.6</v>
      </c>
      <c r="G11" s="110"/>
      <c r="H11" s="110"/>
      <c r="I11" s="110"/>
      <c r="J11" s="110"/>
      <c r="K11" s="95"/>
      <c r="L11" s="95">
        <f t="shared" si="12"/>
        <v>3.9</v>
      </c>
      <c r="M11" s="95">
        <f t="shared" si="2"/>
        <v>105.5</v>
      </c>
      <c r="N11" s="111">
        <v>0.41</v>
      </c>
      <c r="O11" s="95">
        <f t="shared" si="3"/>
        <v>43.3</v>
      </c>
      <c r="P11" s="95">
        <f t="shared" si="4"/>
        <v>148.80000000000001</v>
      </c>
      <c r="Q11" s="95">
        <f t="shared" si="5"/>
        <v>119</v>
      </c>
      <c r="R11" s="95">
        <f t="shared" si="6"/>
        <v>119</v>
      </c>
      <c r="S11" s="95">
        <f t="shared" si="7"/>
        <v>12.4</v>
      </c>
      <c r="T11" s="95">
        <f t="shared" si="13"/>
        <v>399.2</v>
      </c>
      <c r="U11" s="1556"/>
      <c r="V11" s="95">
        <f t="shared" ref="V11:V19" si="18">T11*$U$9</f>
        <v>399.2</v>
      </c>
      <c r="W11" s="95">
        <f t="shared" ref="W11:W20" si="19">V11*0.302</f>
        <v>120.6</v>
      </c>
      <c r="X11" s="120"/>
      <c r="Y11" s="112">
        <v>30</v>
      </c>
      <c r="Z11" s="113">
        <f t="shared" si="8"/>
        <v>0</v>
      </c>
      <c r="AA11" s="120"/>
      <c r="AB11" s="112">
        <v>15</v>
      </c>
      <c r="AC11" s="113">
        <f t="shared" si="9"/>
        <v>0</v>
      </c>
      <c r="AD11" s="120"/>
      <c r="AE11" s="112">
        <v>30</v>
      </c>
      <c r="AF11" s="113">
        <f t="shared" si="14"/>
        <v>0</v>
      </c>
      <c r="AG11" s="113">
        <f t="shared" si="15"/>
        <v>0</v>
      </c>
      <c r="AH11" s="113">
        <f t="shared" si="16"/>
        <v>0</v>
      </c>
      <c r="AI11" s="114">
        <f t="shared" si="10"/>
        <v>33266.699999999997</v>
      </c>
      <c r="AJ11" s="114"/>
      <c r="AK11" s="114">
        <f t="shared" si="11"/>
        <v>399.2</v>
      </c>
      <c r="AL11" s="114">
        <f t="shared" si="17"/>
        <v>190.1</v>
      </c>
      <c r="AM11" s="115">
        <v>0.30199999999999999</v>
      </c>
      <c r="AN11" s="116"/>
      <c r="AO11" s="116"/>
      <c r="AP11" s="116"/>
      <c r="AQ11" s="116"/>
      <c r="AS11" s="115"/>
    </row>
    <row r="12" spans="1:45" s="126" customFormat="1" ht="13.8" x14ac:dyDescent="0.25">
      <c r="A12" s="284">
        <v>4</v>
      </c>
      <c r="B12" s="121" t="s">
        <v>31</v>
      </c>
      <c r="C12" s="122">
        <v>1</v>
      </c>
      <c r="D12" s="107">
        <v>11.061999999999999</v>
      </c>
      <c r="E12" s="123">
        <f t="shared" si="0"/>
        <v>11.06</v>
      </c>
      <c r="F12" s="124">
        <f t="shared" si="1"/>
        <v>132.69999999999999</v>
      </c>
      <c r="G12" s="124"/>
      <c r="H12" s="124"/>
      <c r="I12" s="124"/>
      <c r="J12" s="125"/>
      <c r="K12" s="96"/>
      <c r="L12" s="95">
        <f t="shared" si="12"/>
        <v>5.0999999999999996</v>
      </c>
      <c r="M12" s="96">
        <f t="shared" si="2"/>
        <v>137.80000000000001</v>
      </c>
      <c r="N12" s="111">
        <v>0.47</v>
      </c>
      <c r="O12" s="96">
        <f t="shared" si="3"/>
        <v>64.8</v>
      </c>
      <c r="P12" s="96">
        <f t="shared" si="4"/>
        <v>202.6</v>
      </c>
      <c r="Q12" s="96">
        <f t="shared" si="5"/>
        <v>162.1</v>
      </c>
      <c r="R12" s="96">
        <f t="shared" si="6"/>
        <v>162.1</v>
      </c>
      <c r="S12" s="96">
        <f t="shared" si="7"/>
        <v>16.899999999999999</v>
      </c>
      <c r="T12" s="96">
        <f t="shared" si="13"/>
        <v>543.70000000000005</v>
      </c>
      <c r="U12" s="1556"/>
      <c r="V12" s="96">
        <f t="shared" si="18"/>
        <v>543.70000000000005</v>
      </c>
      <c r="W12" s="95">
        <f t="shared" si="19"/>
        <v>164.2</v>
      </c>
      <c r="X12" s="122">
        <v>1</v>
      </c>
      <c r="Y12" s="112">
        <v>30</v>
      </c>
      <c r="Z12" s="113">
        <f t="shared" si="8"/>
        <v>30</v>
      </c>
      <c r="AA12" s="122"/>
      <c r="AB12" s="112">
        <v>15</v>
      </c>
      <c r="AC12" s="113">
        <f t="shared" si="9"/>
        <v>0</v>
      </c>
      <c r="AD12" s="122"/>
      <c r="AE12" s="112">
        <v>30</v>
      </c>
      <c r="AF12" s="113">
        <f t="shared" si="14"/>
        <v>0</v>
      </c>
      <c r="AG12" s="113">
        <f t="shared" si="15"/>
        <v>9</v>
      </c>
      <c r="AH12" s="113">
        <f t="shared" si="16"/>
        <v>39</v>
      </c>
      <c r="AI12" s="114">
        <f t="shared" si="10"/>
        <v>45308.3</v>
      </c>
      <c r="AJ12" s="114"/>
      <c r="AK12" s="114">
        <f t="shared" si="11"/>
        <v>543.70000000000005</v>
      </c>
      <c r="AL12" s="114">
        <f t="shared" si="17"/>
        <v>216.4</v>
      </c>
      <c r="AM12" s="115">
        <v>0.30199999999999999</v>
      </c>
      <c r="AN12" s="22"/>
      <c r="AO12" s="116"/>
      <c r="AP12" s="116"/>
      <c r="AQ12" s="116"/>
      <c r="AS12" s="115"/>
    </row>
    <row r="13" spans="1:45" ht="26.4" x14ac:dyDescent="0.25">
      <c r="A13" s="284">
        <v>5</v>
      </c>
      <c r="B13" s="117" t="s">
        <v>108</v>
      </c>
      <c r="C13" s="127">
        <v>2</v>
      </c>
      <c r="D13" s="107">
        <v>8.4730000000000008</v>
      </c>
      <c r="E13" s="119">
        <f t="shared" si="0"/>
        <v>16.95</v>
      </c>
      <c r="F13" s="110">
        <f t="shared" si="1"/>
        <v>203.4</v>
      </c>
      <c r="G13" s="110"/>
      <c r="H13" s="110"/>
      <c r="I13" s="110"/>
      <c r="J13" s="110"/>
      <c r="K13" s="95">
        <f>F13*0.25</f>
        <v>50.9</v>
      </c>
      <c r="L13" s="95">
        <f t="shared" si="12"/>
        <v>7.8</v>
      </c>
      <c r="M13" s="95">
        <f t="shared" si="2"/>
        <v>262.10000000000002</v>
      </c>
      <c r="N13" s="111">
        <v>0.47</v>
      </c>
      <c r="O13" s="95">
        <f t="shared" si="3"/>
        <v>123.2</v>
      </c>
      <c r="P13" s="95">
        <f t="shared" si="4"/>
        <v>385.3</v>
      </c>
      <c r="Q13" s="95">
        <f t="shared" si="5"/>
        <v>308.2</v>
      </c>
      <c r="R13" s="95">
        <f t="shared" si="6"/>
        <v>308.2</v>
      </c>
      <c r="S13" s="95">
        <f t="shared" si="7"/>
        <v>32.1</v>
      </c>
      <c r="T13" s="95">
        <f t="shared" si="13"/>
        <v>1033.8</v>
      </c>
      <c r="U13" s="1556"/>
      <c r="V13" s="95">
        <f>T13*$U$9</f>
        <v>1033.8</v>
      </c>
      <c r="W13" s="95">
        <f t="shared" si="19"/>
        <v>312.2</v>
      </c>
      <c r="X13" s="284">
        <v>1</v>
      </c>
      <c r="Y13" s="112">
        <v>30</v>
      </c>
      <c r="Z13" s="113">
        <f t="shared" si="8"/>
        <v>30</v>
      </c>
      <c r="AA13" s="127">
        <v>1</v>
      </c>
      <c r="AB13" s="112">
        <v>15</v>
      </c>
      <c r="AC13" s="113">
        <f t="shared" si="9"/>
        <v>15</v>
      </c>
      <c r="AD13" s="127"/>
      <c r="AE13" s="112">
        <v>30</v>
      </c>
      <c r="AF13" s="113">
        <f t="shared" si="14"/>
        <v>0</v>
      </c>
      <c r="AG13" s="113">
        <f t="shared" si="15"/>
        <v>13.5</v>
      </c>
      <c r="AH13" s="113">
        <f t="shared" si="16"/>
        <v>58.5</v>
      </c>
      <c r="AI13" s="114">
        <f t="shared" si="10"/>
        <v>43075</v>
      </c>
      <c r="AJ13" s="114"/>
      <c r="AK13" s="114">
        <f t="shared" si="11"/>
        <v>516.9</v>
      </c>
      <c r="AL13" s="114">
        <f t="shared" si="17"/>
        <v>211.6</v>
      </c>
      <c r="AM13" s="115">
        <v>0.30199999999999999</v>
      </c>
      <c r="AQ13" s="116"/>
      <c r="AS13" s="115"/>
    </row>
    <row r="14" spans="1:45" ht="13.8" x14ac:dyDescent="0.25">
      <c r="A14" s="284">
        <v>6</v>
      </c>
      <c r="B14" s="117" t="s">
        <v>32</v>
      </c>
      <c r="C14" s="128">
        <v>1</v>
      </c>
      <c r="D14" s="107">
        <v>11.061999999999999</v>
      </c>
      <c r="E14" s="119">
        <f t="shared" si="0"/>
        <v>11.06</v>
      </c>
      <c r="F14" s="110">
        <f t="shared" si="1"/>
        <v>132.69999999999999</v>
      </c>
      <c r="G14" s="110"/>
      <c r="H14" s="110"/>
      <c r="I14" s="110"/>
      <c r="J14" s="110"/>
      <c r="K14" s="95"/>
      <c r="L14" s="95">
        <f t="shared" si="12"/>
        <v>5.0999999999999996</v>
      </c>
      <c r="M14" s="95">
        <f t="shared" si="2"/>
        <v>137.80000000000001</v>
      </c>
      <c r="N14" s="111">
        <v>0.43</v>
      </c>
      <c r="O14" s="95">
        <f t="shared" si="3"/>
        <v>59.3</v>
      </c>
      <c r="P14" s="95">
        <f t="shared" si="4"/>
        <v>197.1</v>
      </c>
      <c r="Q14" s="95">
        <f t="shared" si="5"/>
        <v>157.69999999999999</v>
      </c>
      <c r="R14" s="95">
        <f t="shared" si="6"/>
        <v>157.69999999999999</v>
      </c>
      <c r="S14" s="95">
        <f t="shared" si="7"/>
        <v>16.399999999999999</v>
      </c>
      <c r="T14" s="95">
        <f t="shared" si="13"/>
        <v>528.9</v>
      </c>
      <c r="U14" s="1556"/>
      <c r="V14" s="95">
        <f t="shared" si="18"/>
        <v>528.9</v>
      </c>
      <c r="W14" s="95">
        <f t="shared" si="19"/>
        <v>159.69999999999999</v>
      </c>
      <c r="X14" s="284">
        <v>1</v>
      </c>
      <c r="Y14" s="112">
        <v>30</v>
      </c>
      <c r="Z14" s="113">
        <f t="shared" si="8"/>
        <v>30</v>
      </c>
      <c r="AA14" s="127"/>
      <c r="AB14" s="112">
        <v>15</v>
      </c>
      <c r="AC14" s="113">
        <f t="shared" si="9"/>
        <v>0</v>
      </c>
      <c r="AD14" s="127"/>
      <c r="AE14" s="112">
        <v>30</v>
      </c>
      <c r="AF14" s="113">
        <f t="shared" si="14"/>
        <v>0</v>
      </c>
      <c r="AG14" s="113">
        <f t="shared" si="15"/>
        <v>9</v>
      </c>
      <c r="AH14" s="113">
        <f t="shared" si="16"/>
        <v>39</v>
      </c>
      <c r="AI14" s="114">
        <f t="shared" si="10"/>
        <v>44075</v>
      </c>
      <c r="AJ14" s="114"/>
      <c r="AK14" s="114">
        <f t="shared" si="11"/>
        <v>528.9</v>
      </c>
      <c r="AL14" s="114">
        <f t="shared" si="17"/>
        <v>213.7</v>
      </c>
      <c r="AM14" s="115">
        <v>0.30199999999999999</v>
      </c>
      <c r="AO14" s="116"/>
      <c r="AP14" s="116"/>
      <c r="AQ14" s="116"/>
      <c r="AS14" s="115"/>
    </row>
    <row r="15" spans="1:45" x14ac:dyDescent="0.25">
      <c r="A15" s="284">
        <v>7</v>
      </c>
      <c r="B15" s="129" t="s">
        <v>23</v>
      </c>
      <c r="C15" s="128">
        <v>1</v>
      </c>
      <c r="D15" s="107">
        <v>11.061999999999999</v>
      </c>
      <c r="E15" s="119">
        <f t="shared" si="0"/>
        <v>11.06</v>
      </c>
      <c r="F15" s="110">
        <f t="shared" si="1"/>
        <v>132.69999999999999</v>
      </c>
      <c r="G15" s="110"/>
      <c r="H15" s="110"/>
      <c r="I15" s="110"/>
      <c r="J15" s="110"/>
      <c r="K15" s="95">
        <f>D15*0.3*9+D15*0.35*3</f>
        <v>41.5</v>
      </c>
      <c r="L15" s="95">
        <f t="shared" si="12"/>
        <v>5.0999999999999996</v>
      </c>
      <c r="M15" s="95">
        <f t="shared" si="2"/>
        <v>179.3</v>
      </c>
      <c r="N15" s="111">
        <v>0.43</v>
      </c>
      <c r="O15" s="95">
        <f t="shared" si="3"/>
        <v>77.099999999999994</v>
      </c>
      <c r="P15" s="95">
        <f t="shared" si="4"/>
        <v>256.39999999999998</v>
      </c>
      <c r="Q15" s="95">
        <f t="shared" si="5"/>
        <v>205.1</v>
      </c>
      <c r="R15" s="95">
        <f t="shared" si="6"/>
        <v>205.1</v>
      </c>
      <c r="S15" s="95">
        <f t="shared" si="7"/>
        <v>21.3</v>
      </c>
      <c r="T15" s="95">
        <f t="shared" si="13"/>
        <v>687.9</v>
      </c>
      <c r="U15" s="1556"/>
      <c r="V15" s="95">
        <f t="shared" si="18"/>
        <v>687.9</v>
      </c>
      <c r="W15" s="95">
        <f t="shared" si="19"/>
        <v>207.7</v>
      </c>
      <c r="X15" s="118"/>
      <c r="Y15" s="112">
        <v>30</v>
      </c>
      <c r="Z15" s="113">
        <f t="shared" si="8"/>
        <v>0</v>
      </c>
      <c r="AA15" s="118"/>
      <c r="AB15" s="112">
        <v>15</v>
      </c>
      <c r="AC15" s="113">
        <f t="shared" si="9"/>
        <v>0</v>
      </c>
      <c r="AD15" s="118"/>
      <c r="AE15" s="112">
        <v>30</v>
      </c>
      <c r="AF15" s="113">
        <f t="shared" si="14"/>
        <v>0</v>
      </c>
      <c r="AG15" s="113">
        <f t="shared" si="15"/>
        <v>0</v>
      </c>
      <c r="AH15" s="113">
        <f t="shared" si="16"/>
        <v>0</v>
      </c>
      <c r="AI15" s="114">
        <f t="shared" si="10"/>
        <v>57325</v>
      </c>
      <c r="AJ15" s="114"/>
      <c r="AK15" s="114">
        <f t="shared" si="11"/>
        <v>687.9</v>
      </c>
      <c r="AL15" s="114">
        <f t="shared" si="17"/>
        <v>242.7</v>
      </c>
      <c r="AM15" s="115">
        <v>0.30199999999999999</v>
      </c>
      <c r="AS15" s="115"/>
    </row>
    <row r="16" spans="1:45" ht="13.8" x14ac:dyDescent="0.25">
      <c r="A16" s="284">
        <v>8</v>
      </c>
      <c r="B16" s="129" t="s">
        <v>33</v>
      </c>
      <c r="C16" s="128">
        <v>2</v>
      </c>
      <c r="D16" s="107">
        <v>8.4730000000000008</v>
      </c>
      <c r="E16" s="119">
        <f t="shared" si="0"/>
        <v>16.95</v>
      </c>
      <c r="F16" s="110">
        <f t="shared" si="1"/>
        <v>203.4</v>
      </c>
      <c r="G16" s="124">
        <f>29314.2/1000</f>
        <v>29.3</v>
      </c>
      <c r="H16" s="110">
        <f>9637.5/1000</f>
        <v>9.6</v>
      </c>
      <c r="I16" s="110"/>
      <c r="J16" s="110"/>
      <c r="K16" s="95">
        <f>D16*0.25*10+D16*0.3*2+F16*0.35</f>
        <v>97.5</v>
      </c>
      <c r="L16" s="95">
        <f t="shared" si="12"/>
        <v>7.8</v>
      </c>
      <c r="M16" s="95">
        <f t="shared" si="2"/>
        <v>347.6</v>
      </c>
      <c r="N16" s="111">
        <v>0.41</v>
      </c>
      <c r="O16" s="95">
        <f t="shared" si="3"/>
        <v>142.5</v>
      </c>
      <c r="P16" s="95">
        <f t="shared" si="4"/>
        <v>490.1</v>
      </c>
      <c r="Q16" s="95">
        <f t="shared" si="5"/>
        <v>392.1</v>
      </c>
      <c r="R16" s="95">
        <f t="shared" si="6"/>
        <v>392.1</v>
      </c>
      <c r="S16" s="95">
        <f t="shared" si="7"/>
        <v>40.799999999999997</v>
      </c>
      <c r="T16" s="95">
        <f t="shared" si="13"/>
        <v>1315.1</v>
      </c>
      <c r="U16" s="1556"/>
      <c r="V16" s="95">
        <f t="shared" si="18"/>
        <v>1315.1</v>
      </c>
      <c r="W16" s="95">
        <f t="shared" si="19"/>
        <v>397.2</v>
      </c>
      <c r="X16" s="118">
        <v>1</v>
      </c>
      <c r="Y16" s="112">
        <v>30</v>
      </c>
      <c r="Z16" s="113">
        <f t="shared" si="8"/>
        <v>30</v>
      </c>
      <c r="AA16" s="118"/>
      <c r="AB16" s="112">
        <v>15</v>
      </c>
      <c r="AC16" s="113">
        <f t="shared" si="9"/>
        <v>0</v>
      </c>
      <c r="AD16" s="118"/>
      <c r="AE16" s="112">
        <v>30</v>
      </c>
      <c r="AF16" s="113">
        <f t="shared" si="14"/>
        <v>0</v>
      </c>
      <c r="AG16" s="113">
        <f t="shared" si="15"/>
        <v>9</v>
      </c>
      <c r="AH16" s="113">
        <f t="shared" si="16"/>
        <v>39</v>
      </c>
      <c r="AI16" s="114">
        <f t="shared" si="10"/>
        <v>54795.8</v>
      </c>
      <c r="AJ16" s="114"/>
      <c r="AK16" s="114">
        <f t="shared" si="11"/>
        <v>657.6</v>
      </c>
      <c r="AL16" s="114">
        <f t="shared" si="17"/>
        <v>237.2</v>
      </c>
      <c r="AM16" s="115">
        <v>0.30199999999999999</v>
      </c>
      <c r="AO16" s="116"/>
      <c r="AP16" s="116"/>
      <c r="AQ16" s="116"/>
      <c r="AS16" s="115"/>
    </row>
    <row r="17" spans="1:45" ht="52.8" x14ac:dyDescent="0.25">
      <c r="A17" s="284">
        <v>9</v>
      </c>
      <c r="B17" s="117" t="s">
        <v>103</v>
      </c>
      <c r="C17" s="128">
        <v>1</v>
      </c>
      <c r="D17" s="107">
        <v>4.4569999999999999</v>
      </c>
      <c r="E17" s="119">
        <f t="shared" si="0"/>
        <v>4.46</v>
      </c>
      <c r="F17" s="110">
        <f t="shared" si="1"/>
        <v>53.5</v>
      </c>
      <c r="G17" s="110"/>
      <c r="H17" s="110"/>
      <c r="I17" s="110"/>
      <c r="J17" s="110"/>
      <c r="K17" s="95"/>
      <c r="L17" s="95">
        <f t="shared" si="12"/>
        <v>2.1</v>
      </c>
      <c r="M17" s="95">
        <f t="shared" si="2"/>
        <v>55.6</v>
      </c>
      <c r="N17" s="111">
        <v>0.61</v>
      </c>
      <c r="O17" s="95">
        <f t="shared" si="3"/>
        <v>33.9</v>
      </c>
      <c r="P17" s="95">
        <f t="shared" si="4"/>
        <v>89.5</v>
      </c>
      <c r="Q17" s="95">
        <f t="shared" si="5"/>
        <v>71.599999999999994</v>
      </c>
      <c r="R17" s="95">
        <f t="shared" si="6"/>
        <v>71.599999999999994</v>
      </c>
      <c r="S17" s="95">
        <f t="shared" si="7"/>
        <v>7.4</v>
      </c>
      <c r="T17" s="95">
        <f t="shared" si="13"/>
        <v>240.1</v>
      </c>
      <c r="U17" s="1556"/>
      <c r="V17" s="95">
        <f>T17*$U$9</f>
        <v>240.1</v>
      </c>
      <c r="W17" s="95">
        <f t="shared" si="19"/>
        <v>72.5</v>
      </c>
      <c r="X17" s="118"/>
      <c r="Y17" s="112">
        <v>30</v>
      </c>
      <c r="Z17" s="113">
        <f t="shared" si="8"/>
        <v>0</v>
      </c>
      <c r="AA17" s="118"/>
      <c r="AB17" s="112">
        <v>15</v>
      </c>
      <c r="AC17" s="113">
        <f t="shared" si="9"/>
        <v>0</v>
      </c>
      <c r="AD17" s="118"/>
      <c r="AE17" s="112">
        <v>30</v>
      </c>
      <c r="AF17" s="113">
        <f t="shared" si="14"/>
        <v>0</v>
      </c>
      <c r="AG17" s="113">
        <f t="shared" si="15"/>
        <v>0</v>
      </c>
      <c r="AH17" s="113">
        <f t="shared" si="16"/>
        <v>0</v>
      </c>
      <c r="AI17" s="114">
        <f t="shared" si="10"/>
        <v>20008.3</v>
      </c>
      <c r="AJ17" s="114"/>
      <c r="AK17" s="114">
        <f t="shared" si="11"/>
        <v>240.1</v>
      </c>
      <c r="AL17" s="114">
        <f t="shared" si="17"/>
        <v>161.19999999999999</v>
      </c>
      <c r="AM17" s="115">
        <v>0.30199999999999999</v>
      </c>
      <c r="AN17" s="130"/>
      <c r="AO17" s="130"/>
      <c r="AP17" s="130"/>
      <c r="AS17" s="115"/>
    </row>
    <row r="18" spans="1:45" s="126" customFormat="1" ht="26.4" x14ac:dyDescent="0.25">
      <c r="A18" s="284">
        <v>10</v>
      </c>
      <c r="B18" s="129" t="s">
        <v>34</v>
      </c>
      <c r="C18" s="122">
        <v>3</v>
      </c>
      <c r="D18" s="107">
        <v>7.1950000000000003</v>
      </c>
      <c r="E18" s="123">
        <f t="shared" si="0"/>
        <v>21.59</v>
      </c>
      <c r="F18" s="124">
        <f t="shared" si="1"/>
        <v>259.10000000000002</v>
      </c>
      <c r="G18" s="124">
        <f>44329.4/1000</f>
        <v>44.3</v>
      </c>
      <c r="H18" s="124">
        <f>16367.8/1000</f>
        <v>16.399999999999999</v>
      </c>
      <c r="I18" s="124"/>
      <c r="J18" s="125"/>
      <c r="K18" s="96"/>
      <c r="L18" s="95">
        <f t="shared" si="12"/>
        <v>9.9</v>
      </c>
      <c r="M18" s="96">
        <f t="shared" si="2"/>
        <v>329.7</v>
      </c>
      <c r="N18" s="111">
        <v>0.41</v>
      </c>
      <c r="O18" s="96">
        <f t="shared" si="3"/>
        <v>135.19999999999999</v>
      </c>
      <c r="P18" s="96">
        <f t="shared" si="4"/>
        <v>464.9</v>
      </c>
      <c r="Q18" s="96">
        <f t="shared" si="5"/>
        <v>371.9</v>
      </c>
      <c r="R18" s="96">
        <f t="shared" si="6"/>
        <v>371.9</v>
      </c>
      <c r="S18" s="96">
        <f t="shared" si="7"/>
        <v>38.700000000000003</v>
      </c>
      <c r="T18" s="96">
        <f t="shared" si="13"/>
        <v>1247.4000000000001</v>
      </c>
      <c r="U18" s="1556"/>
      <c r="V18" s="96">
        <f t="shared" si="18"/>
        <v>1247.4000000000001</v>
      </c>
      <c r="W18" s="95">
        <f t="shared" si="19"/>
        <v>376.7</v>
      </c>
      <c r="X18" s="284">
        <v>1</v>
      </c>
      <c r="Y18" s="112">
        <v>30</v>
      </c>
      <c r="Z18" s="113">
        <f t="shared" si="8"/>
        <v>30</v>
      </c>
      <c r="AA18" s="284"/>
      <c r="AB18" s="112">
        <v>15</v>
      </c>
      <c r="AC18" s="113">
        <f t="shared" si="9"/>
        <v>0</v>
      </c>
      <c r="AD18" s="284"/>
      <c r="AE18" s="112">
        <v>30</v>
      </c>
      <c r="AF18" s="113">
        <f t="shared" si="14"/>
        <v>0</v>
      </c>
      <c r="AG18" s="113">
        <f t="shared" si="15"/>
        <v>9</v>
      </c>
      <c r="AH18" s="113">
        <f t="shared" si="16"/>
        <v>39</v>
      </c>
      <c r="AI18" s="114">
        <f t="shared" si="10"/>
        <v>34650</v>
      </c>
      <c r="AJ18" s="114"/>
      <c r="AK18" s="114">
        <f t="shared" si="11"/>
        <v>415.8</v>
      </c>
      <c r="AL18" s="114">
        <f t="shared" si="17"/>
        <v>193.2</v>
      </c>
      <c r="AM18" s="115">
        <v>0.30199999999999999</v>
      </c>
      <c r="AN18" s="130"/>
      <c r="AO18" s="130"/>
      <c r="AP18" s="130"/>
      <c r="AQ18" s="22"/>
      <c r="AS18" s="115"/>
    </row>
    <row r="19" spans="1:45" s="126" customFormat="1" x14ac:dyDescent="0.25">
      <c r="A19" s="284">
        <v>11</v>
      </c>
      <c r="B19" s="129" t="s">
        <v>35</v>
      </c>
      <c r="C19" s="122">
        <v>1</v>
      </c>
      <c r="D19" s="107">
        <v>4.4569999999999999</v>
      </c>
      <c r="E19" s="123">
        <f t="shared" si="0"/>
        <v>4.46</v>
      </c>
      <c r="F19" s="124">
        <f t="shared" si="1"/>
        <v>53.5</v>
      </c>
      <c r="G19" s="124"/>
      <c r="H19" s="124"/>
      <c r="I19" s="124"/>
      <c r="J19" s="125"/>
      <c r="K19" s="96"/>
      <c r="L19" s="95">
        <f t="shared" si="12"/>
        <v>2.1</v>
      </c>
      <c r="M19" s="96">
        <f t="shared" si="2"/>
        <v>55.6</v>
      </c>
      <c r="N19" s="111">
        <v>0.61</v>
      </c>
      <c r="O19" s="96">
        <f t="shared" si="3"/>
        <v>33.9</v>
      </c>
      <c r="P19" s="96">
        <f t="shared" si="4"/>
        <v>89.5</v>
      </c>
      <c r="Q19" s="96">
        <f t="shared" si="5"/>
        <v>71.599999999999994</v>
      </c>
      <c r="R19" s="96">
        <f t="shared" si="6"/>
        <v>71.599999999999994</v>
      </c>
      <c r="S19" s="96">
        <f t="shared" si="7"/>
        <v>7.4</v>
      </c>
      <c r="T19" s="96">
        <f t="shared" si="13"/>
        <v>240.1</v>
      </c>
      <c r="U19" s="1556"/>
      <c r="V19" s="96">
        <f t="shared" si="18"/>
        <v>240.1</v>
      </c>
      <c r="W19" s="95">
        <f t="shared" si="19"/>
        <v>72.5</v>
      </c>
      <c r="X19" s="284"/>
      <c r="Y19" s="112">
        <v>30</v>
      </c>
      <c r="Z19" s="113">
        <f t="shared" si="8"/>
        <v>0</v>
      </c>
      <c r="AA19" s="284"/>
      <c r="AB19" s="112">
        <v>15</v>
      </c>
      <c r="AC19" s="113">
        <f t="shared" si="9"/>
        <v>0</v>
      </c>
      <c r="AD19" s="284"/>
      <c r="AE19" s="112">
        <v>30</v>
      </c>
      <c r="AF19" s="113">
        <f t="shared" si="14"/>
        <v>0</v>
      </c>
      <c r="AG19" s="113">
        <f t="shared" si="15"/>
        <v>0</v>
      </c>
      <c r="AH19" s="113">
        <f t="shared" si="16"/>
        <v>0</v>
      </c>
      <c r="AI19" s="114">
        <f t="shared" si="10"/>
        <v>20008.3</v>
      </c>
      <c r="AJ19" s="114"/>
      <c r="AK19" s="114">
        <f t="shared" si="11"/>
        <v>240.1</v>
      </c>
      <c r="AL19" s="114">
        <f t="shared" si="17"/>
        <v>161.19999999999999</v>
      </c>
      <c r="AM19" s="115">
        <v>0.30199999999999999</v>
      </c>
      <c r="AN19" s="130"/>
      <c r="AO19" s="130"/>
      <c r="AP19" s="130"/>
      <c r="AQ19" s="22"/>
      <c r="AS19" s="115"/>
    </row>
    <row r="20" spans="1:45" s="126" customFormat="1" x14ac:dyDescent="0.25">
      <c r="A20" s="284">
        <v>12</v>
      </c>
      <c r="B20" s="129" t="s">
        <v>25</v>
      </c>
      <c r="C20" s="125">
        <v>0.5</v>
      </c>
      <c r="D20" s="107">
        <v>4.3109999999999999</v>
      </c>
      <c r="E20" s="123">
        <f t="shared" si="0"/>
        <v>2.16</v>
      </c>
      <c r="F20" s="124">
        <f>E20*12</f>
        <v>25.9</v>
      </c>
      <c r="G20" s="124">
        <f>5056.7/1000</f>
        <v>5.0999999999999996</v>
      </c>
      <c r="H20" s="124">
        <f>437.8/1000</f>
        <v>0.4</v>
      </c>
      <c r="I20" s="124"/>
      <c r="J20" s="125"/>
      <c r="K20" s="96"/>
      <c r="L20" s="95">
        <f t="shared" si="12"/>
        <v>1</v>
      </c>
      <c r="M20" s="96">
        <f>F20+G20+H20+I20+J20+K20+L20</f>
        <v>32.4</v>
      </c>
      <c r="N20" s="111">
        <v>0.75</v>
      </c>
      <c r="O20" s="96">
        <f>M20*N20</f>
        <v>24.3</v>
      </c>
      <c r="P20" s="96">
        <f>M20+O20</f>
        <v>56.7</v>
      </c>
      <c r="Q20" s="96">
        <f>P20*0.8</f>
        <v>45.4</v>
      </c>
      <c r="R20" s="96">
        <f>P20*0.8</f>
        <v>45.4</v>
      </c>
      <c r="S20" s="96">
        <f>(P20+Q20+R20)*0.032</f>
        <v>4.7</v>
      </c>
      <c r="T20" s="96">
        <f>P20+Q20+R20+S20</f>
        <v>152.19999999999999</v>
      </c>
      <c r="U20" s="1556"/>
      <c r="V20" s="96">
        <f>T20*$U$9</f>
        <v>152.19999999999999</v>
      </c>
      <c r="W20" s="95">
        <f t="shared" si="19"/>
        <v>46</v>
      </c>
      <c r="X20" s="284"/>
      <c r="Y20" s="112">
        <v>30</v>
      </c>
      <c r="Z20" s="113">
        <f t="shared" si="8"/>
        <v>0</v>
      </c>
      <c r="AA20" s="284"/>
      <c r="AB20" s="112">
        <v>15</v>
      </c>
      <c r="AC20" s="113">
        <f t="shared" si="9"/>
        <v>0</v>
      </c>
      <c r="AD20" s="284"/>
      <c r="AE20" s="112">
        <v>30</v>
      </c>
      <c r="AF20" s="113">
        <f t="shared" si="14"/>
        <v>0</v>
      </c>
      <c r="AG20" s="113">
        <f t="shared" si="15"/>
        <v>0</v>
      </c>
      <c r="AH20" s="113">
        <f t="shared" si="16"/>
        <v>0</v>
      </c>
      <c r="AI20" s="114">
        <f>V20/12*1000</f>
        <v>12683.3</v>
      </c>
      <c r="AJ20" s="114"/>
      <c r="AK20" s="114">
        <f t="shared" si="11"/>
        <v>304.39999999999998</v>
      </c>
      <c r="AL20" s="114">
        <f t="shared" si="17"/>
        <v>172.9</v>
      </c>
      <c r="AM20" s="115">
        <v>0.30199999999999999</v>
      </c>
      <c r="AN20" s="130"/>
      <c r="AO20" s="130"/>
      <c r="AP20" s="130"/>
      <c r="AQ20" s="22"/>
      <c r="AS20" s="115"/>
    </row>
    <row r="21" spans="1:45" s="98" customFormat="1" ht="20.25" customHeight="1" x14ac:dyDescent="0.25">
      <c r="A21" s="1552" t="s">
        <v>8</v>
      </c>
      <c r="B21" s="1552"/>
      <c r="C21" s="97">
        <f t="shared" ref="C21:M21" si="20">SUM(C9:C20)</f>
        <v>15.5</v>
      </c>
      <c r="D21" s="97">
        <f t="shared" si="20"/>
        <v>119.5</v>
      </c>
      <c r="E21" s="97">
        <f t="shared" si="20"/>
        <v>148.69999999999999</v>
      </c>
      <c r="F21" s="97">
        <f t="shared" si="20"/>
        <v>1783.7</v>
      </c>
      <c r="G21" s="97">
        <f t="shared" si="20"/>
        <v>78.7</v>
      </c>
      <c r="H21" s="97">
        <f t="shared" si="20"/>
        <v>26.4</v>
      </c>
      <c r="I21" s="97">
        <f t="shared" si="20"/>
        <v>0</v>
      </c>
      <c r="J21" s="97">
        <f t="shared" si="20"/>
        <v>0</v>
      </c>
      <c r="K21" s="97">
        <f t="shared" si="20"/>
        <v>316.39999999999998</v>
      </c>
      <c r="L21" s="97">
        <f t="shared" si="20"/>
        <v>68.599999999999994</v>
      </c>
      <c r="M21" s="97">
        <f t="shared" si="20"/>
        <v>2273.8000000000002</v>
      </c>
      <c r="N21" s="97"/>
      <c r="O21" s="97">
        <f t="shared" ref="O21:AH21" si="21">SUM(O9:O20)</f>
        <v>1033.7</v>
      </c>
      <c r="P21" s="97">
        <f t="shared" si="21"/>
        <v>3307.5</v>
      </c>
      <c r="Q21" s="97">
        <f t="shared" si="21"/>
        <v>2646</v>
      </c>
      <c r="R21" s="97">
        <f t="shared" si="21"/>
        <v>2646</v>
      </c>
      <c r="S21" s="97">
        <f t="shared" si="21"/>
        <v>275.2</v>
      </c>
      <c r="T21" s="97">
        <f t="shared" si="21"/>
        <v>8874.7000000000007</v>
      </c>
      <c r="U21" s="97">
        <f t="shared" si="21"/>
        <v>1</v>
      </c>
      <c r="V21" s="97">
        <f t="shared" si="21"/>
        <v>8874.7000000000007</v>
      </c>
      <c r="W21" s="97">
        <f t="shared" si="21"/>
        <v>2635.8</v>
      </c>
      <c r="X21" s="97">
        <f t="shared" si="21"/>
        <v>6</v>
      </c>
      <c r="Y21" s="97">
        <f t="shared" si="21"/>
        <v>360</v>
      </c>
      <c r="Z21" s="97">
        <f t="shared" si="21"/>
        <v>180</v>
      </c>
      <c r="AA21" s="97">
        <f t="shared" si="21"/>
        <v>1</v>
      </c>
      <c r="AB21" s="97">
        <f t="shared" si="21"/>
        <v>180</v>
      </c>
      <c r="AC21" s="97">
        <f t="shared" si="21"/>
        <v>15</v>
      </c>
      <c r="AD21" s="97">
        <f t="shared" si="21"/>
        <v>0</v>
      </c>
      <c r="AE21" s="97">
        <f t="shared" si="21"/>
        <v>360</v>
      </c>
      <c r="AF21" s="97">
        <f t="shared" si="21"/>
        <v>0</v>
      </c>
      <c r="AG21" s="97">
        <f t="shared" si="21"/>
        <v>58.5</v>
      </c>
      <c r="AH21" s="97">
        <f t="shared" si="21"/>
        <v>253.5</v>
      </c>
      <c r="AN21" s="130"/>
      <c r="AO21" s="130"/>
      <c r="AP21" s="130"/>
      <c r="AQ21" s="22"/>
    </row>
    <row r="22" spans="1:45" x14ac:dyDescent="0.25">
      <c r="G22" s="131"/>
      <c r="H22" s="131"/>
      <c r="I22" s="131"/>
      <c r="J22" s="131"/>
      <c r="K22" s="131"/>
      <c r="L22" s="131"/>
      <c r="M22" s="131"/>
      <c r="N22" s="131"/>
      <c r="O22" s="131"/>
      <c r="P22" s="131"/>
      <c r="Q22" s="131"/>
      <c r="R22" s="131"/>
      <c r="S22" s="131"/>
      <c r="T22" s="131"/>
      <c r="V22" s="114"/>
      <c r="W22" s="66"/>
      <c r="X22" s="132"/>
      <c r="Y22" s="132"/>
      <c r="Z22" s="132"/>
      <c r="AA22" s="131"/>
      <c r="AD22" s="131"/>
      <c r="AG22" s="131"/>
      <c r="AH22" s="131"/>
      <c r="AN22" s="130"/>
      <c r="AO22" s="130"/>
      <c r="AP22" s="130"/>
    </row>
    <row r="23" spans="1:45" x14ac:dyDescent="0.25">
      <c r="G23" s="131"/>
      <c r="H23" s="131"/>
      <c r="I23" s="131"/>
      <c r="J23" s="131"/>
      <c r="K23" s="131"/>
      <c r="L23" s="131"/>
      <c r="M23" s="131"/>
      <c r="N23" s="131"/>
      <c r="O23" s="131"/>
      <c r="P23" s="131"/>
      <c r="Q23" s="131"/>
      <c r="R23" s="131"/>
      <c r="S23" s="131"/>
      <c r="T23" s="131"/>
      <c r="V23" s="114"/>
      <c r="W23" s="114"/>
      <c r="X23" s="133"/>
      <c r="Y23" s="133"/>
      <c r="Z23" s="133"/>
      <c r="AA23" s="131"/>
      <c r="AD23" s="131"/>
      <c r="AG23" s="131"/>
      <c r="AH23" s="131"/>
      <c r="AN23" s="130"/>
      <c r="AO23" s="130"/>
      <c r="AP23" s="130"/>
    </row>
    <row r="24" spans="1:45" s="62" customFormat="1" ht="13.8" x14ac:dyDescent="0.25">
      <c r="A24" s="68"/>
      <c r="B24" s="63"/>
      <c r="C24" s="26"/>
      <c r="D24" s="26"/>
      <c r="E24" s="26"/>
      <c r="F24" s="26"/>
      <c r="G24" s="26"/>
      <c r="H24" s="26"/>
      <c r="I24" s="26"/>
      <c r="J24" s="26"/>
      <c r="K24" s="26"/>
      <c r="L24" s="26"/>
      <c r="M24" s="26"/>
      <c r="N24" s="26"/>
      <c r="O24" s="26"/>
      <c r="P24" s="26"/>
      <c r="Q24" s="26"/>
      <c r="R24" s="26"/>
      <c r="S24" s="26"/>
      <c r="T24" s="26"/>
      <c r="U24" s="64"/>
      <c r="V24" s="69"/>
      <c r="W24" s="69"/>
      <c r="X24" s="65"/>
      <c r="Y24" s="65"/>
      <c r="Z24" s="65"/>
      <c r="AA24" s="65"/>
      <c r="AB24" s="65"/>
      <c r="AC24" s="65"/>
      <c r="AD24" s="65"/>
      <c r="AE24" s="65"/>
      <c r="AF24" s="65"/>
      <c r="AG24" s="65"/>
      <c r="AH24" s="65"/>
      <c r="AI24" s="67"/>
      <c r="AJ24" s="61"/>
      <c r="AK24" s="61"/>
      <c r="AL24" s="134"/>
      <c r="AM24" s="135"/>
    </row>
    <row r="25" spans="1:45" s="75" customFormat="1" ht="13.8" x14ac:dyDescent="0.25">
      <c r="A25" s="70"/>
      <c r="B25" s="70"/>
      <c r="C25" s="71"/>
      <c r="D25" s="72"/>
      <c r="E25" s="72"/>
      <c r="F25" s="72"/>
      <c r="G25" s="72"/>
      <c r="H25" s="73"/>
      <c r="I25" s="73"/>
      <c r="J25" s="27"/>
      <c r="K25" s="27"/>
      <c r="L25" s="27"/>
      <c r="M25" s="27"/>
      <c r="N25" s="74"/>
      <c r="O25" s="27"/>
      <c r="P25" s="27"/>
      <c r="Q25" s="27"/>
      <c r="R25" s="27"/>
      <c r="S25" s="27"/>
      <c r="T25" s="27"/>
      <c r="U25" s="27"/>
      <c r="V25" s="27"/>
      <c r="W25" s="27"/>
      <c r="X25" s="27"/>
      <c r="Y25" s="27"/>
      <c r="Z25" s="27"/>
      <c r="AA25" s="27"/>
      <c r="AB25" s="27"/>
      <c r="AC25" s="27"/>
      <c r="AD25" s="27"/>
      <c r="AE25" s="27"/>
      <c r="AF25" s="27"/>
      <c r="AG25" s="27"/>
      <c r="AH25" s="27"/>
      <c r="AI25" s="27"/>
      <c r="AJ25" s="76"/>
      <c r="AN25" s="76"/>
      <c r="AO25" s="76"/>
      <c r="AP25" s="76"/>
      <c r="AQ25" s="76"/>
      <c r="AR25" s="76"/>
    </row>
    <row r="26" spans="1:45" s="75" customFormat="1" ht="55.5" customHeight="1" x14ac:dyDescent="0.25">
      <c r="A26" s="70"/>
      <c r="B26" s="70"/>
      <c r="C26" s="71"/>
      <c r="D26" s="77"/>
      <c r="E26" s="77"/>
      <c r="F26" s="27"/>
      <c r="G26" s="1545" t="s">
        <v>140</v>
      </c>
      <c r="H26" s="1545"/>
      <c r="I26" s="1545" t="s">
        <v>141</v>
      </c>
      <c r="J26" s="1545"/>
      <c r="K26" s="1545" t="s">
        <v>128</v>
      </c>
      <c r="L26" s="1545"/>
      <c r="Q26" s="27"/>
      <c r="R26" s="27"/>
      <c r="S26" s="27"/>
      <c r="T26" s="27"/>
      <c r="U26" s="27"/>
      <c r="V26" s="27"/>
      <c r="W26" s="27"/>
      <c r="X26" s="27"/>
      <c r="Y26" s="27"/>
      <c r="Z26" s="27"/>
      <c r="AA26" s="27"/>
      <c r="AB26" s="27"/>
      <c r="AC26" s="27"/>
      <c r="AD26" s="27"/>
      <c r="AE26" s="27"/>
      <c r="AF26" s="27"/>
      <c r="AG26" s="27"/>
      <c r="AH26" s="27"/>
      <c r="AI26" s="27"/>
      <c r="AJ26" s="76"/>
      <c r="AN26" s="76"/>
      <c r="AO26" s="76"/>
      <c r="AP26" s="76"/>
      <c r="AQ26" s="76"/>
      <c r="AR26" s="76"/>
    </row>
    <row r="27" spans="1:45" s="75" customFormat="1" ht="13.8" x14ac:dyDescent="0.25">
      <c r="A27" s="70"/>
      <c r="B27" s="70"/>
      <c r="C27" s="71"/>
      <c r="D27" s="77"/>
      <c r="E27" s="77"/>
      <c r="F27" s="27"/>
      <c r="G27" s="279">
        <v>991</v>
      </c>
      <c r="H27" s="279">
        <v>992</v>
      </c>
      <c r="I27" s="279">
        <v>991</v>
      </c>
      <c r="J27" s="279">
        <v>992</v>
      </c>
      <c r="K27" s="279">
        <v>991</v>
      </c>
      <c r="L27" s="279">
        <v>992</v>
      </c>
      <c r="Q27" s="27"/>
      <c r="R27" s="27"/>
      <c r="S27" s="27"/>
      <c r="T27" s="27"/>
      <c r="U27" s="27"/>
      <c r="V27" s="27"/>
      <c r="W27" s="27"/>
      <c r="X27" s="27"/>
      <c r="Y27" s="27"/>
      <c r="Z27" s="27"/>
      <c r="AA27" s="27"/>
      <c r="AB27" s="27"/>
      <c r="AC27" s="27"/>
      <c r="AD27" s="27"/>
      <c r="AE27" s="27"/>
      <c r="AF27" s="27"/>
      <c r="AG27" s="27"/>
      <c r="AH27" s="27"/>
      <c r="AI27" s="27"/>
      <c r="AJ27" s="76"/>
      <c r="AN27" s="76"/>
      <c r="AO27" s="76"/>
      <c r="AP27" s="76"/>
      <c r="AQ27" s="76"/>
      <c r="AR27" s="76"/>
    </row>
    <row r="28" spans="1:45" s="75" customFormat="1" ht="13.8" x14ac:dyDescent="0.25">
      <c r="A28" s="70"/>
      <c r="B28" s="70"/>
      <c r="C28" s="71"/>
      <c r="D28" s="77"/>
      <c r="E28" s="77"/>
      <c r="F28" s="27"/>
      <c r="G28" s="29">
        <v>8874.7000000000007</v>
      </c>
      <c r="H28" s="29">
        <v>2640.7</v>
      </c>
      <c r="I28" s="29">
        <f>V21</f>
        <v>8874.7000000000007</v>
      </c>
      <c r="J28" s="29">
        <f>W21</f>
        <v>2635.8</v>
      </c>
      <c r="K28" s="29">
        <f>G28-I28</f>
        <v>0</v>
      </c>
      <c r="L28" s="29">
        <f>H28-J28</f>
        <v>4.9000000000000004</v>
      </c>
      <c r="Q28" s="27"/>
      <c r="R28" s="27"/>
      <c r="S28" s="27"/>
      <c r="T28" s="27"/>
      <c r="U28" s="27"/>
      <c r="V28" s="27"/>
      <c r="W28" s="27"/>
      <c r="X28" s="27"/>
      <c r="Y28" s="27"/>
      <c r="Z28" s="27"/>
      <c r="AA28" s="27"/>
      <c r="AB28" s="27"/>
      <c r="AC28" s="27"/>
      <c r="AD28" s="27"/>
      <c r="AE28" s="27"/>
      <c r="AF28" s="27"/>
      <c r="AG28" s="27"/>
      <c r="AH28" s="27"/>
      <c r="AI28" s="27"/>
      <c r="AJ28" s="76"/>
      <c r="AN28" s="76"/>
      <c r="AO28" s="76"/>
      <c r="AP28" s="76"/>
      <c r="AQ28" s="76"/>
      <c r="AR28" s="76"/>
    </row>
    <row r="29" spans="1:45" s="143" customFormat="1" ht="13.8" x14ac:dyDescent="0.25">
      <c r="A29" s="136"/>
      <c r="B29" s="136"/>
      <c r="C29" s="137"/>
      <c r="D29" s="138"/>
      <c r="E29" s="138"/>
      <c r="F29" s="138"/>
      <c r="G29" s="138"/>
      <c r="H29" s="139"/>
      <c r="I29" s="139"/>
      <c r="J29" s="140"/>
      <c r="K29" s="140"/>
      <c r="L29" s="140"/>
      <c r="M29" s="140"/>
      <c r="N29" s="141"/>
      <c r="O29" s="140"/>
      <c r="P29" s="140"/>
      <c r="Q29" s="140"/>
      <c r="R29" s="140"/>
      <c r="S29" s="140"/>
      <c r="T29" s="140"/>
      <c r="U29" s="140"/>
      <c r="V29" s="140"/>
      <c r="W29" s="140"/>
      <c r="X29" s="140"/>
      <c r="Y29" s="140"/>
      <c r="Z29" s="140"/>
      <c r="AA29" s="140"/>
      <c r="AB29" s="140"/>
      <c r="AC29" s="140"/>
      <c r="AD29" s="140"/>
      <c r="AE29" s="140"/>
      <c r="AF29" s="140"/>
      <c r="AG29" s="140"/>
      <c r="AH29" s="140"/>
      <c r="AI29" s="142"/>
      <c r="AN29" s="22"/>
      <c r="AO29" s="22"/>
      <c r="AP29" s="22"/>
      <c r="AQ29" s="22"/>
    </row>
    <row r="30" spans="1:45" s="143" customFormat="1" ht="13.8" x14ac:dyDescent="0.25">
      <c r="A30" s="136"/>
      <c r="B30" s="136"/>
      <c r="C30" s="137"/>
      <c r="D30" s="138"/>
      <c r="E30" s="138"/>
      <c r="F30" s="138"/>
      <c r="G30" s="138"/>
      <c r="H30" s="139"/>
      <c r="I30" s="139"/>
      <c r="J30" s="140"/>
      <c r="K30" s="140"/>
      <c r="L30" s="140"/>
      <c r="M30" s="140"/>
      <c r="N30" s="141"/>
      <c r="O30" s="140"/>
      <c r="P30" s="140"/>
      <c r="Q30" s="140"/>
      <c r="R30" s="140"/>
      <c r="S30" s="140"/>
      <c r="T30" s="140"/>
      <c r="U30" s="140"/>
      <c r="V30" s="140"/>
      <c r="W30" s="140"/>
      <c r="X30" s="140"/>
      <c r="Y30" s="140"/>
      <c r="Z30" s="140"/>
      <c r="AA30" s="140"/>
      <c r="AB30" s="140"/>
      <c r="AC30" s="140"/>
      <c r="AD30" s="140"/>
      <c r="AE30" s="140"/>
      <c r="AF30" s="140"/>
      <c r="AG30" s="140"/>
      <c r="AH30" s="140"/>
      <c r="AI30" s="142"/>
      <c r="AN30" s="22"/>
      <c r="AO30" s="22"/>
      <c r="AP30" s="22"/>
      <c r="AQ30" s="22"/>
    </row>
    <row r="31" spans="1:45" s="143" customFormat="1" ht="13.8" x14ac:dyDescent="0.25">
      <c r="A31" s="136"/>
      <c r="B31" s="136"/>
      <c r="C31" s="137"/>
      <c r="D31" s="144"/>
      <c r="E31" s="144"/>
      <c r="F31" s="140"/>
      <c r="G31" s="140"/>
      <c r="H31" s="139"/>
      <c r="I31" s="139"/>
      <c r="J31" s="140"/>
      <c r="K31" s="140"/>
      <c r="L31" s="140"/>
      <c r="M31" s="140"/>
      <c r="N31" s="141"/>
      <c r="O31" s="140"/>
      <c r="P31" s="140"/>
      <c r="Q31" s="140"/>
      <c r="R31" s="140"/>
      <c r="S31" s="140"/>
      <c r="T31" s="140"/>
      <c r="U31" s="140"/>
      <c r="V31" s="140"/>
      <c r="W31" s="140"/>
      <c r="X31" s="140"/>
      <c r="Y31" s="140"/>
      <c r="Z31" s="140"/>
      <c r="AA31" s="140"/>
      <c r="AB31" s="140"/>
      <c r="AC31" s="140"/>
      <c r="AD31" s="140"/>
      <c r="AE31" s="140"/>
      <c r="AF31" s="140"/>
      <c r="AG31" s="140"/>
      <c r="AH31" s="140"/>
      <c r="AI31" s="142"/>
      <c r="AN31" s="22"/>
      <c r="AO31" s="22"/>
      <c r="AP31" s="22"/>
      <c r="AQ31" s="22"/>
    </row>
    <row r="32" spans="1:45" s="282" customFormat="1" ht="21" x14ac:dyDescent="0.25">
      <c r="A32" s="81"/>
      <c r="B32" s="82" t="s">
        <v>138</v>
      </c>
      <c r="C32" s="83"/>
      <c r="D32" s="84"/>
      <c r="E32" s="84"/>
      <c r="F32" s="85"/>
      <c r="G32" s="85"/>
      <c r="H32" s="86"/>
      <c r="I32" s="86"/>
      <c r="J32" s="85"/>
      <c r="K32" s="30" t="s">
        <v>166</v>
      </c>
      <c r="L32" s="85"/>
      <c r="M32" s="85"/>
      <c r="N32" s="87"/>
      <c r="O32" s="85"/>
      <c r="P32" s="85"/>
      <c r="Q32" s="85"/>
      <c r="R32" s="85"/>
      <c r="S32" s="85"/>
      <c r="T32" s="85"/>
      <c r="U32" s="85"/>
      <c r="V32" s="85"/>
      <c r="W32" s="85"/>
      <c r="X32" s="85"/>
      <c r="Y32" s="85"/>
      <c r="Z32" s="85"/>
      <c r="AA32" s="85"/>
      <c r="AB32" s="85"/>
      <c r="AC32" s="85"/>
      <c r="AD32" s="85"/>
      <c r="AE32" s="85"/>
      <c r="AF32" s="85"/>
      <c r="AG32" s="85"/>
      <c r="AH32" s="85"/>
      <c r="AI32" s="85"/>
      <c r="AK32" s="88"/>
      <c r="AL32" s="88"/>
      <c r="AM32" s="88"/>
      <c r="AN32" s="88"/>
      <c r="AO32" s="88"/>
    </row>
    <row r="33" spans="1:43" s="143" customFormat="1" ht="13.8" x14ac:dyDescent="0.25">
      <c r="A33" s="136"/>
      <c r="B33" s="136"/>
      <c r="C33" s="137"/>
      <c r="D33" s="144"/>
      <c r="E33" s="144"/>
      <c r="F33" s="140"/>
      <c r="G33" s="140"/>
      <c r="H33" s="139"/>
      <c r="I33" s="139"/>
      <c r="J33" s="140"/>
      <c r="K33" s="140"/>
      <c r="L33" s="140"/>
      <c r="M33" s="140"/>
      <c r="N33" s="141"/>
      <c r="O33" s="140"/>
      <c r="P33" s="140"/>
      <c r="Q33" s="140"/>
      <c r="R33" s="140"/>
      <c r="S33" s="140"/>
      <c r="T33" s="140"/>
      <c r="U33" s="140"/>
      <c r="V33" s="140"/>
      <c r="W33" s="140"/>
      <c r="X33" s="140"/>
      <c r="Y33" s="140"/>
      <c r="Z33" s="140"/>
      <c r="AA33" s="140"/>
      <c r="AB33" s="140"/>
      <c r="AC33" s="140"/>
      <c r="AD33" s="140"/>
      <c r="AE33" s="140"/>
      <c r="AF33" s="140"/>
      <c r="AG33" s="140"/>
      <c r="AH33" s="140"/>
      <c r="AI33" s="142"/>
      <c r="AN33" s="22"/>
      <c r="AO33" s="22"/>
      <c r="AP33" s="22"/>
      <c r="AQ33" s="22"/>
    </row>
    <row r="34" spans="1:43" s="143" customFormat="1" ht="20.25" customHeight="1" x14ac:dyDescent="0.25">
      <c r="A34" s="145" t="s">
        <v>96</v>
      </c>
      <c r="B34" s="145"/>
      <c r="C34" s="146"/>
      <c r="D34" s="146"/>
      <c r="E34" s="146"/>
      <c r="F34" s="146"/>
      <c r="G34" s="146"/>
      <c r="H34" s="146"/>
      <c r="I34" s="146"/>
      <c r="J34" s="146"/>
      <c r="K34" s="146"/>
      <c r="L34" s="147"/>
      <c r="M34" s="147"/>
      <c r="N34" s="148"/>
      <c r="O34" s="147"/>
      <c r="P34" s="147"/>
      <c r="Q34" s="147"/>
      <c r="R34" s="147"/>
      <c r="S34" s="147"/>
      <c r="T34" s="147"/>
      <c r="U34" s="147"/>
      <c r="V34" s="147"/>
      <c r="W34" s="147"/>
      <c r="X34" s="147"/>
      <c r="Y34" s="147"/>
      <c r="Z34" s="147"/>
      <c r="AA34" s="147"/>
      <c r="AB34" s="147"/>
      <c r="AC34" s="147"/>
      <c r="AD34" s="147"/>
      <c r="AE34" s="147"/>
      <c r="AF34" s="147"/>
      <c r="AG34" s="147"/>
      <c r="AH34" s="147"/>
      <c r="AI34" s="142"/>
      <c r="AN34" s="62"/>
      <c r="AO34" s="62"/>
      <c r="AP34" s="62"/>
      <c r="AQ34" s="60"/>
    </row>
    <row r="35" spans="1:43" s="143" customFormat="1" ht="20.25" customHeight="1" x14ac:dyDescent="0.25">
      <c r="A35" s="145" t="s">
        <v>139</v>
      </c>
      <c r="B35" s="149"/>
      <c r="C35" s="150"/>
      <c r="D35" s="150"/>
      <c r="E35" s="151"/>
      <c r="F35" s="151"/>
      <c r="G35" s="151"/>
      <c r="H35" s="151"/>
      <c r="I35" s="151"/>
      <c r="J35" s="151"/>
      <c r="K35" s="151"/>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2"/>
      <c r="AN35" s="62"/>
      <c r="AO35" s="62"/>
      <c r="AP35" s="62"/>
      <c r="AQ35" s="62"/>
    </row>
    <row r="36" spans="1:43" ht="16.8" x14ac:dyDescent="0.25">
      <c r="A36" s="152"/>
      <c r="I36" s="153"/>
      <c r="L36" s="99"/>
      <c r="M36" s="99"/>
      <c r="N36" s="99"/>
      <c r="O36" s="99"/>
      <c r="P36" s="99"/>
      <c r="Q36" s="99"/>
      <c r="W36" s="131"/>
      <c r="X36" s="131"/>
      <c r="AA36" s="131"/>
      <c r="AD36" s="131"/>
      <c r="AG36" s="131"/>
      <c r="AH36" s="131"/>
      <c r="AN36" s="62"/>
      <c r="AO36" s="62"/>
      <c r="AP36" s="62"/>
      <c r="AQ36" s="62"/>
    </row>
    <row r="37" spans="1:43" ht="16.8" x14ac:dyDescent="0.25">
      <c r="A37" s="152"/>
      <c r="E37" s="115"/>
      <c r="L37" s="99"/>
      <c r="M37" s="99"/>
      <c r="N37" s="99"/>
      <c r="O37" s="99"/>
      <c r="P37" s="99"/>
      <c r="Q37" s="99"/>
      <c r="W37" s="131"/>
      <c r="X37" s="131"/>
      <c r="AA37" s="131"/>
      <c r="AD37" s="131"/>
      <c r="AG37" s="131"/>
      <c r="AH37" s="131"/>
      <c r="AN37" s="62"/>
      <c r="AO37" s="62"/>
      <c r="AP37" s="62"/>
      <c r="AQ37" s="62"/>
    </row>
    <row r="38" spans="1:43" x14ac:dyDescent="0.25">
      <c r="E38" s="115"/>
    </row>
    <row r="39" spans="1:43" x14ac:dyDescent="0.25">
      <c r="E39" s="115"/>
    </row>
    <row r="40" spans="1:43" x14ac:dyDescent="0.25">
      <c r="E40" s="115"/>
    </row>
    <row r="41" spans="1:43" x14ac:dyDescent="0.25">
      <c r="E41" s="115"/>
    </row>
    <row r="42" spans="1:43" x14ac:dyDescent="0.25">
      <c r="E42" s="115"/>
    </row>
    <row r="43" spans="1:43" x14ac:dyDescent="0.25">
      <c r="E43" s="115"/>
    </row>
  </sheetData>
  <autoFilter ref="A8:AS8"/>
  <mergeCells count="37">
    <mergeCell ref="G26:H26"/>
    <mergeCell ref="I26:J26"/>
    <mergeCell ref="K26:L26"/>
    <mergeCell ref="AA6:AC6"/>
    <mergeCell ref="J6:J7"/>
    <mergeCell ref="K6:K7"/>
    <mergeCell ref="AH6:AH7"/>
    <mergeCell ref="U9:U20"/>
    <mergeCell ref="A21:B21"/>
    <mergeCell ref="S6:S7"/>
    <mergeCell ref="T6:T7"/>
    <mergeCell ref="U6:U7"/>
    <mergeCell ref="V6:V7"/>
    <mergeCell ref="W6:W7"/>
    <mergeCell ref="X6:Z6"/>
    <mergeCell ref="L6:L7"/>
    <mergeCell ref="F6:F7"/>
    <mergeCell ref="G6:G7"/>
    <mergeCell ref="H6:H7"/>
    <mergeCell ref="I6:I7"/>
    <mergeCell ref="R6:R7"/>
    <mergeCell ref="AE1:AH1"/>
    <mergeCell ref="A2:AH2"/>
    <mergeCell ref="A3:AH3"/>
    <mergeCell ref="A5:A7"/>
    <mergeCell ref="B5:B7"/>
    <mergeCell ref="C5:C7"/>
    <mergeCell ref="D5:W5"/>
    <mergeCell ref="X5:AH5"/>
    <mergeCell ref="D6:D7"/>
    <mergeCell ref="E6:E7"/>
    <mergeCell ref="AG6:AG7"/>
    <mergeCell ref="M6:M7"/>
    <mergeCell ref="N6:O6"/>
    <mergeCell ref="P6:P7"/>
    <mergeCell ref="Q6:Q7"/>
    <mergeCell ref="AD6:AF6"/>
  </mergeCells>
  <printOptions horizontalCentered="1"/>
  <pageMargins left="0" right="0" top="0" bottom="0" header="0.31496062992125984" footer="0.31496062992125984"/>
  <pageSetup paperSize="9" scale="38" orientation="landscape"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S57"/>
  <sheetViews>
    <sheetView view="pageBreakPreview" zoomScale="80" zoomScaleNormal="80" zoomScaleSheetLayoutView="80" workbookViewId="0">
      <pane xSplit="3" ySplit="8" topLeftCell="V9"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2" x14ac:dyDescent="0.25"/>
  <cols>
    <col min="1" max="1" width="6.77734375" style="33" customWidth="1"/>
    <col min="2" max="2" width="30.77734375" style="22" customWidth="1"/>
    <col min="3" max="3" width="13.77734375" style="22" customWidth="1"/>
    <col min="4" max="4" width="12.77734375" style="22" customWidth="1"/>
    <col min="5" max="5" width="13" style="22" customWidth="1"/>
    <col min="6" max="6" width="14.6640625" style="22" customWidth="1"/>
    <col min="7" max="7" width="12.33203125" style="22" customWidth="1"/>
    <col min="8" max="8" width="13.33203125" style="22" customWidth="1"/>
    <col min="9" max="9" width="15.77734375" style="22" customWidth="1"/>
    <col min="10" max="11" width="13.77734375" style="22" customWidth="1"/>
    <col min="12" max="12" width="13.33203125" style="22" customWidth="1"/>
    <col min="13" max="13" width="12.77734375" style="22" customWidth="1"/>
    <col min="14" max="14" width="11.44140625" style="22" customWidth="1"/>
    <col min="15" max="15" width="14.77734375" style="22" customWidth="1"/>
    <col min="16" max="16" width="15.33203125" style="22" customWidth="1"/>
    <col min="17" max="17" width="14.77734375" style="22" customWidth="1"/>
    <col min="18" max="18" width="13.6640625" style="22" customWidth="1"/>
    <col min="19" max="19" width="15.33203125" style="22" customWidth="1"/>
    <col min="20" max="20" width="12.33203125" style="22" customWidth="1"/>
    <col min="21" max="21" width="11.6640625" style="22" customWidth="1"/>
    <col min="22" max="22" width="13" style="22" customWidth="1"/>
    <col min="23" max="23" width="12.6640625" style="22" customWidth="1"/>
    <col min="24" max="24" width="13.33203125" style="22" customWidth="1"/>
    <col min="25" max="25" width="12.77734375" style="22" customWidth="1"/>
    <col min="26" max="26" width="13" style="22" customWidth="1"/>
    <col min="27" max="27" width="12.33203125" style="22" customWidth="1"/>
    <col min="28" max="28" width="11.33203125" style="22" customWidth="1"/>
    <col min="29" max="29" width="9.6640625" style="22" customWidth="1"/>
    <col min="30" max="30" width="11" style="22" customWidth="1"/>
    <col min="31" max="31" width="9.33203125" style="22" customWidth="1"/>
    <col min="32" max="32" width="9.77734375" style="22" customWidth="1"/>
    <col min="33" max="33" width="14" style="22" customWidth="1"/>
    <col min="34" max="34" width="12.33203125" style="22" customWidth="1"/>
    <col min="35" max="35" width="11.109375" style="34" customWidth="1"/>
    <col min="36" max="36" width="9.33203125" style="22"/>
    <col min="37" max="37" width="12.6640625" style="22" customWidth="1"/>
    <col min="38" max="38" width="11.6640625" style="22" hidden="1" customWidth="1"/>
    <col min="39" max="39" width="13.6640625" style="22" hidden="1" customWidth="1"/>
    <col min="40" max="42" width="9.33203125" style="22"/>
    <col min="43" max="43" width="14" style="22" bestFit="1" customWidth="1"/>
    <col min="44" max="16384" width="9.33203125" style="22"/>
  </cols>
  <sheetData>
    <row r="1" spans="1:45" ht="12.75" customHeight="1" x14ac:dyDescent="0.25">
      <c r="AE1" s="1546"/>
      <c r="AF1" s="1546"/>
      <c r="AG1" s="1546"/>
      <c r="AH1" s="1546"/>
    </row>
    <row r="2" spans="1:45" ht="24" customHeight="1" x14ac:dyDescent="0.25">
      <c r="A2" s="1535" t="s">
        <v>158</v>
      </c>
      <c r="B2" s="1535"/>
      <c r="C2" s="1535"/>
      <c r="D2" s="1535"/>
      <c r="E2" s="1535"/>
      <c r="F2" s="1535"/>
      <c r="G2" s="1535"/>
      <c r="H2" s="1535"/>
      <c r="I2" s="1535"/>
      <c r="J2" s="1535"/>
      <c r="K2" s="1535"/>
      <c r="L2" s="1535"/>
      <c r="M2" s="1535"/>
      <c r="N2" s="1535"/>
      <c r="O2" s="1535"/>
      <c r="P2" s="1535"/>
      <c r="Q2" s="1535"/>
      <c r="R2" s="1535"/>
      <c r="S2" s="1535"/>
      <c r="T2" s="1535"/>
      <c r="U2" s="1535"/>
      <c r="V2" s="1535"/>
      <c r="W2" s="1535"/>
      <c r="X2" s="1535"/>
      <c r="Y2" s="1535"/>
      <c r="Z2" s="1535"/>
      <c r="AA2" s="1535"/>
      <c r="AB2" s="1535"/>
      <c r="AC2" s="1535"/>
      <c r="AD2" s="1535"/>
      <c r="AE2" s="1535"/>
      <c r="AF2" s="1535"/>
      <c r="AG2" s="1535"/>
      <c r="AH2" s="1535"/>
      <c r="AI2" s="36"/>
    </row>
    <row r="3" spans="1:45" ht="24.75" customHeight="1" x14ac:dyDescent="0.25">
      <c r="A3" s="1536"/>
      <c r="B3" s="1536"/>
      <c r="C3" s="1536"/>
      <c r="D3" s="1536"/>
      <c r="E3" s="1536"/>
      <c r="F3" s="1536"/>
      <c r="G3" s="1536"/>
      <c r="H3" s="1536"/>
      <c r="I3" s="1536"/>
      <c r="J3" s="1536"/>
      <c r="K3" s="1536"/>
      <c r="L3" s="1536"/>
      <c r="M3" s="1536"/>
      <c r="N3" s="1536"/>
      <c r="O3" s="1536"/>
      <c r="P3" s="1536"/>
      <c r="Q3" s="1536"/>
      <c r="R3" s="1536"/>
      <c r="S3" s="1536"/>
      <c r="T3" s="1536"/>
      <c r="U3" s="1536"/>
      <c r="V3" s="1536"/>
      <c r="W3" s="1536"/>
      <c r="X3" s="1536"/>
      <c r="Y3" s="1536"/>
      <c r="Z3" s="1536"/>
      <c r="AA3" s="1536"/>
      <c r="AB3" s="1536"/>
      <c r="AC3" s="1536"/>
      <c r="AD3" s="1536"/>
      <c r="AE3" s="1536"/>
      <c r="AF3" s="1536"/>
      <c r="AG3" s="1536"/>
      <c r="AH3" s="1536"/>
      <c r="AI3" s="283"/>
    </row>
    <row r="4" spans="1:45" x14ac:dyDescent="0.25">
      <c r="L4" s="38">
        <v>0.34311000000000003</v>
      </c>
    </row>
    <row r="5" spans="1:45" ht="38.25" customHeight="1" x14ac:dyDescent="0.25">
      <c r="A5" s="1549" t="s">
        <v>78</v>
      </c>
      <c r="B5" s="1549" t="s">
        <v>77</v>
      </c>
      <c r="C5" s="1538" t="s">
        <v>0</v>
      </c>
      <c r="D5" s="1538" t="s">
        <v>3</v>
      </c>
      <c r="E5" s="1538"/>
      <c r="F5" s="1538"/>
      <c r="G5" s="1538"/>
      <c r="H5" s="1538"/>
      <c r="I5" s="1538"/>
      <c r="J5" s="1538"/>
      <c r="K5" s="1538"/>
      <c r="L5" s="1538"/>
      <c r="M5" s="1538"/>
      <c r="N5" s="1538"/>
      <c r="O5" s="1538"/>
      <c r="P5" s="1538"/>
      <c r="Q5" s="1538"/>
      <c r="R5" s="1538"/>
      <c r="S5" s="1538"/>
      <c r="T5" s="1538"/>
      <c r="U5" s="1538"/>
      <c r="V5" s="1538"/>
      <c r="W5" s="1538"/>
      <c r="X5" s="1538" t="s">
        <v>4</v>
      </c>
      <c r="Y5" s="1538"/>
      <c r="Z5" s="1538"/>
      <c r="AA5" s="1538"/>
      <c r="AB5" s="1538"/>
      <c r="AC5" s="1538"/>
      <c r="AD5" s="1538"/>
      <c r="AE5" s="1538"/>
      <c r="AF5" s="1538"/>
      <c r="AG5" s="1538"/>
      <c r="AH5" s="1538"/>
    </row>
    <row r="6" spans="1:45" ht="60" customHeight="1" x14ac:dyDescent="0.25">
      <c r="A6" s="1549"/>
      <c r="B6" s="1549"/>
      <c r="C6" s="1538"/>
      <c r="D6" s="1530" t="s">
        <v>68</v>
      </c>
      <c r="E6" s="1530" t="s">
        <v>69</v>
      </c>
      <c r="F6" s="1530" t="s">
        <v>89</v>
      </c>
      <c r="G6" s="1530" t="s">
        <v>1</v>
      </c>
      <c r="H6" s="1530" t="s">
        <v>2</v>
      </c>
      <c r="I6" s="1530" t="s">
        <v>70</v>
      </c>
      <c r="J6" s="1530" t="s">
        <v>61</v>
      </c>
      <c r="K6" s="1530" t="s">
        <v>27</v>
      </c>
      <c r="L6" s="1952" t="s">
        <v>65</v>
      </c>
      <c r="M6" s="1952" t="s">
        <v>86</v>
      </c>
      <c r="N6" s="1953" t="s">
        <v>91</v>
      </c>
      <c r="O6" s="1953"/>
      <c r="P6" s="1953" t="s">
        <v>88</v>
      </c>
      <c r="Q6" s="1952" t="s">
        <v>82</v>
      </c>
      <c r="R6" s="1530" t="s">
        <v>83</v>
      </c>
      <c r="S6" s="1952" t="s">
        <v>87</v>
      </c>
      <c r="T6" s="1530" t="s">
        <v>84</v>
      </c>
      <c r="U6" s="1530" t="s">
        <v>9</v>
      </c>
      <c r="V6" s="1530" t="s">
        <v>7</v>
      </c>
      <c r="W6" s="1530" t="s">
        <v>85</v>
      </c>
      <c r="X6" s="1538" t="s">
        <v>10</v>
      </c>
      <c r="Y6" s="1538"/>
      <c r="Z6" s="1538"/>
      <c r="AA6" s="1538" t="s">
        <v>11</v>
      </c>
      <c r="AB6" s="1538"/>
      <c r="AC6" s="1538"/>
      <c r="AD6" s="1538" t="s">
        <v>12</v>
      </c>
      <c r="AE6" s="1538"/>
      <c r="AF6" s="1538"/>
      <c r="AG6" s="1538" t="s">
        <v>13</v>
      </c>
      <c r="AH6" s="1538" t="s">
        <v>73</v>
      </c>
    </row>
    <row r="7" spans="1:45" ht="107.25" customHeight="1" x14ac:dyDescent="0.25">
      <c r="A7" s="1549"/>
      <c r="B7" s="1549"/>
      <c r="C7" s="1538"/>
      <c r="D7" s="1530"/>
      <c r="E7" s="1530"/>
      <c r="F7" s="1530"/>
      <c r="G7" s="1530"/>
      <c r="H7" s="1530"/>
      <c r="I7" s="1530"/>
      <c r="J7" s="1530"/>
      <c r="K7" s="1530"/>
      <c r="L7" s="1952" t="s">
        <v>66</v>
      </c>
      <c r="M7" s="1952"/>
      <c r="N7" s="288" t="s">
        <v>80</v>
      </c>
      <c r="O7" s="288" t="s">
        <v>81</v>
      </c>
      <c r="P7" s="1953"/>
      <c r="Q7" s="1952"/>
      <c r="R7" s="1530"/>
      <c r="S7" s="1952" t="s">
        <v>67</v>
      </c>
      <c r="T7" s="1530"/>
      <c r="U7" s="1530"/>
      <c r="V7" s="1530"/>
      <c r="W7" s="1530"/>
      <c r="X7" s="280" t="s">
        <v>5</v>
      </c>
      <c r="Y7" s="280" t="s">
        <v>6</v>
      </c>
      <c r="Z7" s="280" t="s">
        <v>74</v>
      </c>
      <c r="AA7" s="280" t="s">
        <v>5</v>
      </c>
      <c r="AB7" s="280" t="s">
        <v>6</v>
      </c>
      <c r="AC7" s="280" t="s">
        <v>75</v>
      </c>
      <c r="AD7" s="280" t="s">
        <v>5</v>
      </c>
      <c r="AE7" s="280" t="s">
        <v>6</v>
      </c>
      <c r="AF7" s="280" t="s">
        <v>76</v>
      </c>
      <c r="AG7" s="1538"/>
      <c r="AH7" s="1538"/>
      <c r="AK7" s="22" t="s">
        <v>64</v>
      </c>
      <c r="AL7" s="22" t="s">
        <v>62</v>
      </c>
      <c r="AM7" s="165" t="s">
        <v>71</v>
      </c>
    </row>
    <row r="8" spans="1:45" x14ac:dyDescent="0.25">
      <c r="A8" s="278">
        <v>1</v>
      </c>
      <c r="B8" s="278">
        <v>2</v>
      </c>
      <c r="C8" s="278">
        <v>3</v>
      </c>
      <c r="D8" s="278">
        <v>4</v>
      </c>
      <c r="E8" s="278">
        <v>5</v>
      </c>
      <c r="F8" s="278">
        <v>6</v>
      </c>
      <c r="G8" s="278">
        <v>7</v>
      </c>
      <c r="H8" s="278">
        <v>8</v>
      </c>
      <c r="I8" s="278">
        <v>9</v>
      </c>
      <c r="J8" s="278">
        <v>10</v>
      </c>
      <c r="K8" s="278">
        <v>11</v>
      </c>
      <c r="L8" s="278">
        <v>12</v>
      </c>
      <c r="M8" s="278">
        <v>13</v>
      </c>
      <c r="N8" s="278">
        <v>14</v>
      </c>
      <c r="O8" s="278">
        <v>15</v>
      </c>
      <c r="P8" s="278">
        <v>16</v>
      </c>
      <c r="Q8" s="278">
        <v>17</v>
      </c>
      <c r="R8" s="278">
        <v>18</v>
      </c>
      <c r="S8" s="278">
        <v>19</v>
      </c>
      <c r="T8" s="278">
        <v>20</v>
      </c>
      <c r="U8" s="278">
        <v>21</v>
      </c>
      <c r="V8" s="278">
        <v>22</v>
      </c>
      <c r="W8" s="278">
        <v>23</v>
      </c>
      <c r="X8" s="278">
        <v>24</v>
      </c>
      <c r="Y8" s="278">
        <v>25</v>
      </c>
      <c r="Z8" s="278">
        <v>26</v>
      </c>
      <c r="AA8" s="278">
        <v>27</v>
      </c>
      <c r="AB8" s="278">
        <v>28</v>
      </c>
      <c r="AC8" s="278">
        <v>29</v>
      </c>
      <c r="AD8" s="278">
        <v>30</v>
      </c>
      <c r="AE8" s="278">
        <v>31</v>
      </c>
      <c r="AF8" s="278">
        <v>32</v>
      </c>
      <c r="AG8" s="278">
        <v>33</v>
      </c>
      <c r="AH8" s="278">
        <v>34</v>
      </c>
      <c r="AN8" s="43" t="s">
        <v>116</v>
      </c>
      <c r="AO8" s="43" t="s">
        <v>117</v>
      </c>
      <c r="AP8" s="43" t="s">
        <v>118</v>
      </c>
      <c r="AQ8" s="43" t="s">
        <v>119</v>
      </c>
    </row>
    <row r="9" spans="1:45" ht="16.5" customHeight="1" x14ac:dyDescent="0.25">
      <c r="A9" s="278">
        <v>1</v>
      </c>
      <c r="B9" s="166" t="s">
        <v>14</v>
      </c>
      <c r="C9" s="167">
        <v>1</v>
      </c>
      <c r="D9" s="168">
        <v>22.876999999999999</v>
      </c>
      <c r="E9" s="169">
        <f>C9*D9</f>
        <v>22.88</v>
      </c>
      <c r="F9" s="170">
        <f>E9*12</f>
        <v>274.60000000000002</v>
      </c>
      <c r="G9" s="154"/>
      <c r="H9" s="154"/>
      <c r="I9" s="154"/>
      <c r="J9" s="154"/>
      <c r="K9" s="154">
        <f>F9*0.4</f>
        <v>109.8</v>
      </c>
      <c r="L9" s="154">
        <f>F9*$L$4</f>
        <v>94.2</v>
      </c>
      <c r="M9" s="154">
        <f>F9+G9+H9+I9+J9+K9+L9</f>
        <v>478.6</v>
      </c>
      <c r="N9" s="171">
        <v>0.47</v>
      </c>
      <c r="O9" s="154">
        <f>M9*N9</f>
        <v>224.9</v>
      </c>
      <c r="P9" s="154">
        <f>M9+O9</f>
        <v>703.5</v>
      </c>
      <c r="Q9" s="154">
        <f>P9*0.8</f>
        <v>562.79999999999995</v>
      </c>
      <c r="R9" s="154">
        <f>P9*0.8</f>
        <v>562.79999999999995</v>
      </c>
      <c r="S9" s="154">
        <f>(P9+Q9+R9)*0.032</f>
        <v>58.5</v>
      </c>
      <c r="T9" s="154">
        <f>P9+Q9+R9+S9</f>
        <v>1887.6</v>
      </c>
      <c r="U9" s="1954">
        <v>1</v>
      </c>
      <c r="V9" s="155">
        <f t="shared" ref="V9:V21" si="0">T9*$U$9</f>
        <v>1887.6</v>
      </c>
      <c r="W9" s="155">
        <f>AQ9</f>
        <v>451.9</v>
      </c>
      <c r="X9" s="278"/>
      <c r="Y9" s="24">
        <v>30</v>
      </c>
      <c r="Z9" s="48">
        <f t="shared" ref="Z9:Z22" si="1">X9*Y9</f>
        <v>0</v>
      </c>
      <c r="AA9" s="278"/>
      <c r="AB9" s="24">
        <v>15</v>
      </c>
      <c r="AC9" s="48">
        <f t="shared" ref="AC9:AC22" si="2">AA9*AB9</f>
        <v>0</v>
      </c>
      <c r="AD9" s="278"/>
      <c r="AE9" s="24">
        <v>30</v>
      </c>
      <c r="AF9" s="48">
        <f t="shared" ref="AF9:AF22" si="3">AD9*AE9</f>
        <v>0</v>
      </c>
      <c r="AG9" s="48">
        <f t="shared" ref="AG9:AG22" si="4">(Z9+AC9+AF9)*1%*30</f>
        <v>0</v>
      </c>
      <c r="AH9" s="48">
        <f t="shared" ref="AH9:AH22" si="5">Z9+AC9+AF9+AG9</f>
        <v>0</v>
      </c>
      <c r="AI9" s="34">
        <f t="shared" ref="AI9:AI22" si="6">V9/12/C9*1000</f>
        <v>157300</v>
      </c>
      <c r="AJ9" s="34"/>
      <c r="AK9" s="34">
        <f t="shared" ref="AK9:AK22" si="7">V9/C9</f>
        <v>1887.6</v>
      </c>
      <c r="AL9" s="34">
        <f>((979*0.302)+((AK9-979)*0.182))</f>
        <v>461</v>
      </c>
      <c r="AM9" s="51">
        <f>AL9/AK9</f>
        <v>0.24399999999999999</v>
      </c>
      <c r="AN9" s="116">
        <f>1150*0.22*C9+(V9-1150*C9)*0.1</f>
        <v>326.8</v>
      </c>
      <c r="AO9" s="116">
        <f>865*0.029*C9</f>
        <v>25.1</v>
      </c>
      <c r="AP9" s="116">
        <f>AK9*0.053</f>
        <v>100</v>
      </c>
      <c r="AQ9" s="116">
        <f>SUM(AN9:AP9)</f>
        <v>451.9</v>
      </c>
      <c r="AS9" s="51">
        <f t="shared" ref="AS9:AS22" si="8">D9*1.5</f>
        <v>34.316000000000003</v>
      </c>
    </row>
    <row r="10" spans="1:45" ht="13.8" x14ac:dyDescent="0.25">
      <c r="A10" s="278">
        <v>2</v>
      </c>
      <c r="B10" s="166" t="s">
        <v>125</v>
      </c>
      <c r="C10" s="167">
        <v>2</v>
      </c>
      <c r="D10" s="168">
        <v>16.013999999999999</v>
      </c>
      <c r="E10" s="169">
        <f>C10*D10</f>
        <v>32.03</v>
      </c>
      <c r="F10" s="170">
        <f t="shared" ref="F10:F22" si="9">E10*12</f>
        <v>384.4</v>
      </c>
      <c r="G10" s="154"/>
      <c r="H10" s="154"/>
      <c r="I10" s="154">
        <f>D10*0.25*12</f>
        <v>48</v>
      </c>
      <c r="J10" s="154"/>
      <c r="K10" s="154">
        <f>D10*0.25*12+D10*0.4*12+D10*0.05*4</f>
        <v>128.1</v>
      </c>
      <c r="L10" s="154">
        <f t="shared" ref="L10:L21" si="10">F10*$L$4</f>
        <v>131.9</v>
      </c>
      <c r="M10" s="154">
        <f t="shared" ref="M10:M22" si="11">F10+G10+H10+I10+J10+K10+L10</f>
        <v>692.4</v>
      </c>
      <c r="N10" s="171">
        <v>0.47</v>
      </c>
      <c r="O10" s="154">
        <f t="shared" ref="O10:O22" si="12">M10*N10</f>
        <v>325.39999999999998</v>
      </c>
      <c r="P10" s="154">
        <f t="shared" ref="P10:P22" si="13">M10+O10</f>
        <v>1017.8</v>
      </c>
      <c r="Q10" s="154">
        <f t="shared" ref="Q10:Q22" si="14">P10*0.8</f>
        <v>814.2</v>
      </c>
      <c r="R10" s="154">
        <f t="shared" ref="R10:R22" si="15">P10*0.8</f>
        <v>814.2</v>
      </c>
      <c r="S10" s="154">
        <f t="shared" ref="S10:S22" si="16">(P10+Q10+R10)*0.032</f>
        <v>84.7</v>
      </c>
      <c r="T10" s="154">
        <f t="shared" ref="T10:T22" si="17">P10+Q10+R10+S10</f>
        <v>2730.9</v>
      </c>
      <c r="U10" s="1955"/>
      <c r="V10" s="155">
        <f t="shared" si="0"/>
        <v>2730.9</v>
      </c>
      <c r="W10" s="155">
        <f>AQ10</f>
        <v>744</v>
      </c>
      <c r="X10" s="278"/>
      <c r="Y10" s="24">
        <v>30</v>
      </c>
      <c r="Z10" s="48">
        <f t="shared" si="1"/>
        <v>0</v>
      </c>
      <c r="AA10" s="278">
        <v>1</v>
      </c>
      <c r="AB10" s="24">
        <v>15</v>
      </c>
      <c r="AC10" s="48">
        <f t="shared" si="2"/>
        <v>15</v>
      </c>
      <c r="AD10" s="278"/>
      <c r="AE10" s="24">
        <v>30</v>
      </c>
      <c r="AF10" s="48">
        <f t="shared" si="3"/>
        <v>0</v>
      </c>
      <c r="AG10" s="48">
        <f t="shared" si="4"/>
        <v>4.5</v>
      </c>
      <c r="AH10" s="48">
        <f t="shared" si="5"/>
        <v>19.5</v>
      </c>
      <c r="AI10" s="34">
        <f t="shared" si="6"/>
        <v>113787.5</v>
      </c>
      <c r="AJ10" s="34"/>
      <c r="AK10" s="34">
        <f t="shared" si="7"/>
        <v>1365.5</v>
      </c>
      <c r="AL10" s="34">
        <f t="shared" ref="AL10:AL22" si="18">((979*0.302)+((AK10-979)*0.182))</f>
        <v>366</v>
      </c>
      <c r="AM10" s="51">
        <f>AL10/AK10</f>
        <v>0.26800000000000002</v>
      </c>
      <c r="AN10" s="116">
        <f>1150*0.22*C10+(V10-1150*C10)*0.1</f>
        <v>549.1</v>
      </c>
      <c r="AO10" s="116">
        <f>865*0.029*C10</f>
        <v>50.2</v>
      </c>
      <c r="AP10" s="116">
        <f>AK10*0.053*2</f>
        <v>144.69999999999999</v>
      </c>
      <c r="AQ10" s="116">
        <f>SUM(AN10:AP10)</f>
        <v>744</v>
      </c>
      <c r="AS10" s="51">
        <f t="shared" si="8"/>
        <v>24.021000000000001</v>
      </c>
    </row>
    <row r="11" spans="1:45" ht="13.8" x14ac:dyDescent="0.25">
      <c r="A11" s="278">
        <v>3</v>
      </c>
      <c r="B11" s="106" t="s">
        <v>33</v>
      </c>
      <c r="C11" s="172">
        <v>1</v>
      </c>
      <c r="D11" s="173">
        <v>8.4730000000000008</v>
      </c>
      <c r="E11" s="171">
        <f t="shared" ref="E11:E22" si="19">C11*D11</f>
        <v>8.4700000000000006</v>
      </c>
      <c r="F11" s="154">
        <f t="shared" si="9"/>
        <v>101.6</v>
      </c>
      <c r="G11" s="154"/>
      <c r="H11" s="154"/>
      <c r="I11" s="154"/>
      <c r="J11" s="154"/>
      <c r="K11" s="154">
        <f>D11*0.2*5</f>
        <v>8.5</v>
      </c>
      <c r="L11" s="154">
        <f t="shared" si="10"/>
        <v>34.9</v>
      </c>
      <c r="M11" s="154">
        <f t="shared" si="11"/>
        <v>145</v>
      </c>
      <c r="N11" s="171">
        <v>0.41</v>
      </c>
      <c r="O11" s="154">
        <f t="shared" si="12"/>
        <v>59.5</v>
      </c>
      <c r="P11" s="154">
        <f t="shared" si="13"/>
        <v>204.5</v>
      </c>
      <c r="Q11" s="154">
        <f t="shared" si="14"/>
        <v>163.6</v>
      </c>
      <c r="R11" s="154">
        <f t="shared" si="15"/>
        <v>163.6</v>
      </c>
      <c r="S11" s="154">
        <f t="shared" si="16"/>
        <v>17</v>
      </c>
      <c r="T11" s="154">
        <f t="shared" si="17"/>
        <v>548.70000000000005</v>
      </c>
      <c r="U11" s="1955"/>
      <c r="V11" s="155">
        <f t="shared" si="0"/>
        <v>548.70000000000005</v>
      </c>
      <c r="W11" s="155">
        <f>V11*0.302</f>
        <v>165.7</v>
      </c>
      <c r="X11" s="162"/>
      <c r="Y11" s="163">
        <v>30</v>
      </c>
      <c r="Z11" s="164">
        <f t="shared" si="1"/>
        <v>0</v>
      </c>
      <c r="AA11" s="162"/>
      <c r="AB11" s="163">
        <v>15</v>
      </c>
      <c r="AC11" s="164">
        <f t="shared" si="2"/>
        <v>0</v>
      </c>
      <c r="AD11" s="162"/>
      <c r="AE11" s="163">
        <v>30</v>
      </c>
      <c r="AF11" s="164">
        <f t="shared" si="3"/>
        <v>0</v>
      </c>
      <c r="AG11" s="164">
        <f t="shared" si="4"/>
        <v>0</v>
      </c>
      <c r="AH11" s="164">
        <f t="shared" si="5"/>
        <v>0</v>
      </c>
      <c r="AI11" s="34">
        <f t="shared" si="6"/>
        <v>45725</v>
      </c>
      <c r="AJ11" s="34"/>
      <c r="AK11" s="34">
        <f t="shared" si="7"/>
        <v>548.70000000000005</v>
      </c>
      <c r="AL11" s="34">
        <f t="shared" si="18"/>
        <v>217.3</v>
      </c>
      <c r="AM11" s="51">
        <v>0.30199999999999999</v>
      </c>
      <c r="AO11" s="116"/>
      <c r="AP11" s="116"/>
      <c r="AQ11" s="116"/>
      <c r="AS11" s="51">
        <f t="shared" si="8"/>
        <v>12.71</v>
      </c>
    </row>
    <row r="12" spans="1:45" ht="13.8" x14ac:dyDescent="0.25">
      <c r="A12" s="278">
        <v>4</v>
      </c>
      <c r="B12" s="106" t="s">
        <v>105</v>
      </c>
      <c r="C12" s="172">
        <v>2</v>
      </c>
      <c r="D12" s="173">
        <v>8.4730000000000008</v>
      </c>
      <c r="E12" s="171">
        <f t="shared" si="19"/>
        <v>16.95</v>
      </c>
      <c r="F12" s="154">
        <f t="shared" si="9"/>
        <v>203.4</v>
      </c>
      <c r="G12" s="154"/>
      <c r="H12" s="154"/>
      <c r="I12" s="154"/>
      <c r="J12" s="154"/>
      <c r="K12" s="154">
        <f>F12*0.35</f>
        <v>71.2</v>
      </c>
      <c r="L12" s="154">
        <f t="shared" si="10"/>
        <v>69.8</v>
      </c>
      <c r="M12" s="154">
        <f t="shared" si="11"/>
        <v>344.4</v>
      </c>
      <c r="N12" s="171">
        <v>0.41</v>
      </c>
      <c r="O12" s="154">
        <f t="shared" si="12"/>
        <v>141.19999999999999</v>
      </c>
      <c r="P12" s="154">
        <f t="shared" si="13"/>
        <v>485.6</v>
      </c>
      <c r="Q12" s="154">
        <f t="shared" si="14"/>
        <v>388.5</v>
      </c>
      <c r="R12" s="154">
        <f t="shared" si="15"/>
        <v>388.5</v>
      </c>
      <c r="S12" s="154">
        <f t="shared" si="16"/>
        <v>40.4</v>
      </c>
      <c r="T12" s="154">
        <f t="shared" si="17"/>
        <v>1303</v>
      </c>
      <c r="U12" s="1955"/>
      <c r="V12" s="155">
        <f t="shared" si="0"/>
        <v>1303</v>
      </c>
      <c r="W12" s="155">
        <f t="shared" ref="W12:W22" si="20">V12*0.302</f>
        <v>393.5</v>
      </c>
      <c r="X12" s="162">
        <v>2</v>
      </c>
      <c r="Y12" s="163">
        <v>30</v>
      </c>
      <c r="Z12" s="164">
        <f t="shared" si="1"/>
        <v>60</v>
      </c>
      <c r="AA12" s="162"/>
      <c r="AB12" s="163">
        <v>15</v>
      </c>
      <c r="AC12" s="164">
        <f t="shared" si="2"/>
        <v>0</v>
      </c>
      <c r="AD12" s="162"/>
      <c r="AE12" s="163">
        <v>30</v>
      </c>
      <c r="AF12" s="164">
        <f t="shared" si="3"/>
        <v>0</v>
      </c>
      <c r="AG12" s="164">
        <f t="shared" si="4"/>
        <v>18</v>
      </c>
      <c r="AH12" s="164">
        <f t="shared" si="5"/>
        <v>78</v>
      </c>
      <c r="AI12" s="34">
        <f t="shared" si="6"/>
        <v>54291.7</v>
      </c>
      <c r="AJ12" s="34"/>
      <c r="AK12" s="34">
        <f t="shared" si="7"/>
        <v>651.5</v>
      </c>
      <c r="AL12" s="34">
        <f t="shared" si="18"/>
        <v>236.1</v>
      </c>
      <c r="AM12" s="51">
        <v>0.30199999999999999</v>
      </c>
      <c r="AQ12" s="116"/>
      <c r="AS12" s="51">
        <f t="shared" si="8"/>
        <v>12.71</v>
      </c>
    </row>
    <row r="13" spans="1:45" ht="13.8" x14ac:dyDescent="0.25">
      <c r="A13" s="278">
        <v>5</v>
      </c>
      <c r="B13" s="166" t="s">
        <v>15</v>
      </c>
      <c r="C13" s="174">
        <v>6</v>
      </c>
      <c r="D13" s="175">
        <v>11.061999999999999</v>
      </c>
      <c r="E13" s="171">
        <f t="shared" si="19"/>
        <v>66.37</v>
      </c>
      <c r="F13" s="154">
        <f t="shared" si="9"/>
        <v>796.4</v>
      </c>
      <c r="G13" s="154"/>
      <c r="H13" s="154"/>
      <c r="I13" s="154"/>
      <c r="J13" s="154"/>
      <c r="K13" s="154">
        <f>D13*0.2*12+D13*0.3*12+D13*0.35*12+D13*0.4*3*12</f>
        <v>272.10000000000002</v>
      </c>
      <c r="L13" s="154">
        <f t="shared" si="10"/>
        <v>273.3</v>
      </c>
      <c r="M13" s="154">
        <f t="shared" si="11"/>
        <v>1341.8</v>
      </c>
      <c r="N13" s="171">
        <v>0.43</v>
      </c>
      <c r="O13" s="154">
        <f t="shared" si="12"/>
        <v>577</v>
      </c>
      <c r="P13" s="154">
        <f t="shared" si="13"/>
        <v>1918.8</v>
      </c>
      <c r="Q13" s="154">
        <f t="shared" si="14"/>
        <v>1535</v>
      </c>
      <c r="R13" s="154">
        <f t="shared" si="15"/>
        <v>1535</v>
      </c>
      <c r="S13" s="154">
        <f t="shared" si="16"/>
        <v>159.6</v>
      </c>
      <c r="T13" s="154">
        <f t="shared" si="17"/>
        <v>5148.3999999999996</v>
      </c>
      <c r="U13" s="1955"/>
      <c r="V13" s="155">
        <f t="shared" si="0"/>
        <v>5148.3999999999996</v>
      </c>
      <c r="W13" s="155">
        <f t="shared" si="20"/>
        <v>1554.8</v>
      </c>
      <c r="X13" s="162">
        <v>5</v>
      </c>
      <c r="Y13" s="163">
        <v>30</v>
      </c>
      <c r="Z13" s="164">
        <f t="shared" si="1"/>
        <v>150</v>
      </c>
      <c r="AA13" s="162">
        <v>2</v>
      </c>
      <c r="AB13" s="163">
        <v>15</v>
      </c>
      <c r="AC13" s="164">
        <f t="shared" si="2"/>
        <v>30</v>
      </c>
      <c r="AD13" s="162"/>
      <c r="AE13" s="163">
        <v>30</v>
      </c>
      <c r="AF13" s="164">
        <f t="shared" si="3"/>
        <v>0</v>
      </c>
      <c r="AG13" s="164">
        <f t="shared" si="4"/>
        <v>54</v>
      </c>
      <c r="AH13" s="164">
        <f t="shared" si="5"/>
        <v>234</v>
      </c>
      <c r="AI13" s="34">
        <f t="shared" si="6"/>
        <v>71505.600000000006</v>
      </c>
      <c r="AJ13" s="34"/>
      <c r="AK13" s="34">
        <f t="shared" si="7"/>
        <v>858.1</v>
      </c>
      <c r="AL13" s="34">
        <f t="shared" si="18"/>
        <v>273.7</v>
      </c>
      <c r="AM13" s="51">
        <v>0.30199999999999999</v>
      </c>
      <c r="AO13" s="116"/>
      <c r="AP13" s="116"/>
      <c r="AQ13" s="116"/>
      <c r="AS13" s="51">
        <f t="shared" si="8"/>
        <v>16.593</v>
      </c>
    </row>
    <row r="14" spans="1:45" x14ac:dyDescent="0.25">
      <c r="A14" s="278">
        <v>6</v>
      </c>
      <c r="B14" s="166" t="s">
        <v>16</v>
      </c>
      <c r="C14" s="174">
        <v>17</v>
      </c>
      <c r="D14" s="175">
        <v>11.061999999999999</v>
      </c>
      <c r="E14" s="171">
        <f t="shared" si="19"/>
        <v>188.05</v>
      </c>
      <c r="F14" s="154">
        <f t="shared" si="9"/>
        <v>2256.6</v>
      </c>
      <c r="G14" s="154"/>
      <c r="H14" s="154"/>
      <c r="I14" s="154"/>
      <c r="J14" s="154"/>
      <c r="K14" s="154">
        <f>D14*0.3*12+D14*0.4*12</f>
        <v>92.9</v>
      </c>
      <c r="L14" s="154">
        <f t="shared" si="10"/>
        <v>774.3</v>
      </c>
      <c r="M14" s="154">
        <f t="shared" si="11"/>
        <v>3123.8</v>
      </c>
      <c r="N14" s="171">
        <v>0.43</v>
      </c>
      <c r="O14" s="154">
        <f t="shared" si="12"/>
        <v>1343.2</v>
      </c>
      <c r="P14" s="154">
        <f t="shared" si="13"/>
        <v>4467</v>
      </c>
      <c r="Q14" s="154">
        <f t="shared" si="14"/>
        <v>3573.6</v>
      </c>
      <c r="R14" s="154">
        <f t="shared" si="15"/>
        <v>3573.6</v>
      </c>
      <c r="S14" s="154">
        <f t="shared" si="16"/>
        <v>371.7</v>
      </c>
      <c r="T14" s="154">
        <f t="shared" si="17"/>
        <v>11985.9</v>
      </c>
      <c r="U14" s="1955"/>
      <c r="V14" s="155">
        <f t="shared" si="0"/>
        <v>11985.9</v>
      </c>
      <c r="W14" s="155">
        <f t="shared" si="20"/>
        <v>3619.7</v>
      </c>
      <c r="X14" s="162">
        <v>10</v>
      </c>
      <c r="Y14" s="163">
        <v>30</v>
      </c>
      <c r="Z14" s="164">
        <f t="shared" si="1"/>
        <v>300</v>
      </c>
      <c r="AA14" s="162">
        <v>3</v>
      </c>
      <c r="AB14" s="163">
        <v>15</v>
      </c>
      <c r="AC14" s="164">
        <f t="shared" si="2"/>
        <v>45</v>
      </c>
      <c r="AD14" s="162">
        <v>3</v>
      </c>
      <c r="AE14" s="163">
        <v>30</v>
      </c>
      <c r="AF14" s="164">
        <f t="shared" si="3"/>
        <v>90</v>
      </c>
      <c r="AG14" s="164">
        <f t="shared" si="4"/>
        <v>130.5</v>
      </c>
      <c r="AH14" s="164">
        <f t="shared" si="5"/>
        <v>565.5</v>
      </c>
      <c r="AI14" s="34">
        <f t="shared" si="6"/>
        <v>58754.400000000001</v>
      </c>
      <c r="AJ14" s="34"/>
      <c r="AK14" s="34">
        <f t="shared" si="7"/>
        <v>705.1</v>
      </c>
      <c r="AL14" s="34">
        <f t="shared" si="18"/>
        <v>245.8</v>
      </c>
      <c r="AM14" s="51">
        <v>0.30199999999999999</v>
      </c>
      <c r="AS14" s="51">
        <f t="shared" si="8"/>
        <v>16.593</v>
      </c>
    </row>
    <row r="15" spans="1:45" ht="13.8" x14ac:dyDescent="0.25">
      <c r="A15" s="278">
        <v>7</v>
      </c>
      <c r="B15" s="176" t="s">
        <v>36</v>
      </c>
      <c r="C15" s="167">
        <f>69.5-0.5</f>
        <v>69</v>
      </c>
      <c r="D15" s="177">
        <v>8.4730000000000008</v>
      </c>
      <c r="E15" s="171">
        <f>C15*D15</f>
        <v>584.64</v>
      </c>
      <c r="F15" s="154">
        <f t="shared" si="9"/>
        <v>7015.7</v>
      </c>
      <c r="G15" s="154"/>
      <c r="H15" s="154"/>
      <c r="I15" s="154"/>
      <c r="J15" s="154">
        <f>D15*5.05*12</f>
        <v>513.5</v>
      </c>
      <c r="K15" s="154">
        <f>D15*0.2*12+D15*0.05*4+D15*0.25*8+D15*0.05*16+D15*0.3*11+D15*0.05*31+D15*0.35*12+D15*0.4*12*12</f>
        <v>610.5</v>
      </c>
      <c r="L15" s="154">
        <f t="shared" si="10"/>
        <v>2407.1999999999998</v>
      </c>
      <c r="M15" s="154">
        <f t="shared" si="11"/>
        <v>10546.9</v>
      </c>
      <c r="N15" s="171">
        <v>0.41</v>
      </c>
      <c r="O15" s="154">
        <f t="shared" si="12"/>
        <v>4324.2</v>
      </c>
      <c r="P15" s="154">
        <f t="shared" si="13"/>
        <v>14871.1</v>
      </c>
      <c r="Q15" s="154">
        <f t="shared" si="14"/>
        <v>11896.9</v>
      </c>
      <c r="R15" s="154">
        <f t="shared" si="15"/>
        <v>11896.9</v>
      </c>
      <c r="S15" s="154">
        <f t="shared" si="16"/>
        <v>1237.3</v>
      </c>
      <c r="T15" s="154">
        <f t="shared" si="17"/>
        <v>39902.199999999997</v>
      </c>
      <c r="U15" s="1955"/>
      <c r="V15" s="155">
        <f>T15*$U$9</f>
        <v>39902.199999999997</v>
      </c>
      <c r="W15" s="155">
        <f t="shared" si="20"/>
        <v>12050.5</v>
      </c>
      <c r="X15" s="278">
        <v>41</v>
      </c>
      <c r="Y15" s="24">
        <v>30</v>
      </c>
      <c r="Z15" s="48">
        <f t="shared" si="1"/>
        <v>1230</v>
      </c>
      <c r="AA15" s="54">
        <v>15</v>
      </c>
      <c r="AB15" s="24">
        <v>15</v>
      </c>
      <c r="AC15" s="48">
        <f t="shared" si="2"/>
        <v>225</v>
      </c>
      <c r="AD15" s="54">
        <v>12</v>
      </c>
      <c r="AE15" s="24">
        <v>30</v>
      </c>
      <c r="AF15" s="48">
        <f t="shared" si="3"/>
        <v>360</v>
      </c>
      <c r="AG15" s="48">
        <f t="shared" si="4"/>
        <v>544.5</v>
      </c>
      <c r="AH15" s="48">
        <f t="shared" si="5"/>
        <v>2359.5</v>
      </c>
      <c r="AI15" s="34">
        <f t="shared" si="6"/>
        <v>48191.1</v>
      </c>
      <c r="AJ15" s="34"/>
      <c r="AK15" s="34">
        <f t="shared" si="7"/>
        <v>578.29999999999995</v>
      </c>
      <c r="AL15" s="34">
        <f t="shared" si="18"/>
        <v>222.7</v>
      </c>
      <c r="AM15" s="51">
        <v>0.30199999999999999</v>
      </c>
      <c r="AO15" s="116"/>
      <c r="AP15" s="116"/>
      <c r="AQ15" s="116"/>
      <c r="AS15" s="51">
        <f t="shared" si="8"/>
        <v>12.71</v>
      </c>
    </row>
    <row r="16" spans="1:45" ht="13.8" x14ac:dyDescent="0.25">
      <c r="A16" s="278">
        <v>8</v>
      </c>
      <c r="B16" s="176" t="s">
        <v>37</v>
      </c>
      <c r="C16" s="167">
        <v>6</v>
      </c>
      <c r="D16" s="177">
        <v>8.4730000000000008</v>
      </c>
      <c r="E16" s="171">
        <f>C16*D16</f>
        <v>50.84</v>
      </c>
      <c r="F16" s="154">
        <f t="shared" si="9"/>
        <v>610.1</v>
      </c>
      <c r="G16" s="154"/>
      <c r="H16" s="154"/>
      <c r="I16" s="154"/>
      <c r="J16" s="154">
        <f>D16*0.2*12</f>
        <v>20.3</v>
      </c>
      <c r="K16" s="154">
        <f>D16*0.4*12</f>
        <v>40.700000000000003</v>
      </c>
      <c r="L16" s="154">
        <f t="shared" si="10"/>
        <v>209.3</v>
      </c>
      <c r="M16" s="154">
        <f t="shared" si="11"/>
        <v>880.4</v>
      </c>
      <c r="N16" s="171">
        <v>0.41</v>
      </c>
      <c r="O16" s="154">
        <f t="shared" si="12"/>
        <v>361</v>
      </c>
      <c r="P16" s="154">
        <f t="shared" si="13"/>
        <v>1241.4000000000001</v>
      </c>
      <c r="Q16" s="154">
        <f t="shared" si="14"/>
        <v>993.1</v>
      </c>
      <c r="R16" s="154">
        <f t="shared" si="15"/>
        <v>993.1</v>
      </c>
      <c r="S16" s="154">
        <f t="shared" si="16"/>
        <v>103.3</v>
      </c>
      <c r="T16" s="154">
        <f t="shared" si="17"/>
        <v>3330.9</v>
      </c>
      <c r="U16" s="1955"/>
      <c r="V16" s="155">
        <f t="shared" si="0"/>
        <v>3330.9</v>
      </c>
      <c r="W16" s="155">
        <f t="shared" si="20"/>
        <v>1005.9</v>
      </c>
      <c r="X16" s="278"/>
      <c r="Y16" s="24">
        <v>30</v>
      </c>
      <c r="Z16" s="48">
        <f t="shared" si="1"/>
        <v>0</v>
      </c>
      <c r="AA16" s="54"/>
      <c r="AB16" s="24">
        <v>15</v>
      </c>
      <c r="AC16" s="48">
        <f t="shared" si="2"/>
        <v>0</v>
      </c>
      <c r="AD16" s="54"/>
      <c r="AE16" s="24">
        <v>30</v>
      </c>
      <c r="AF16" s="48">
        <f t="shared" si="3"/>
        <v>0</v>
      </c>
      <c r="AG16" s="48">
        <f t="shared" si="4"/>
        <v>0</v>
      </c>
      <c r="AH16" s="48">
        <f t="shared" si="5"/>
        <v>0</v>
      </c>
      <c r="AI16" s="34">
        <f t="shared" si="6"/>
        <v>46262.5</v>
      </c>
      <c r="AJ16" s="34"/>
      <c r="AK16" s="34">
        <f t="shared" si="7"/>
        <v>555.20000000000005</v>
      </c>
      <c r="AL16" s="34">
        <f t="shared" si="18"/>
        <v>218.5</v>
      </c>
      <c r="AM16" s="51">
        <v>0.30199999999999999</v>
      </c>
      <c r="AN16" s="116"/>
      <c r="AO16" s="116"/>
      <c r="AP16" s="116"/>
      <c r="AQ16" s="116"/>
      <c r="AS16" s="51">
        <f t="shared" si="8"/>
        <v>12.71</v>
      </c>
    </row>
    <row r="17" spans="1:45" x14ac:dyDescent="0.25">
      <c r="A17" s="278">
        <v>9</v>
      </c>
      <c r="B17" s="176" t="s">
        <v>19</v>
      </c>
      <c r="C17" s="167">
        <v>5</v>
      </c>
      <c r="D17" s="177">
        <v>8.4730000000000008</v>
      </c>
      <c r="E17" s="171">
        <f>C17*D17</f>
        <v>42.37</v>
      </c>
      <c r="F17" s="154">
        <f t="shared" si="9"/>
        <v>508.4</v>
      </c>
      <c r="G17" s="154"/>
      <c r="H17" s="154"/>
      <c r="I17" s="154"/>
      <c r="J17" s="154">
        <f>D17*1.25*12</f>
        <v>127.1</v>
      </c>
      <c r="K17" s="154">
        <f>D17*0.3*12+D17*0.35*2*12+D17*0.05*11+D17*0.4*2</f>
        <v>113.1</v>
      </c>
      <c r="L17" s="154">
        <f t="shared" si="10"/>
        <v>174.4</v>
      </c>
      <c r="M17" s="154">
        <f t="shared" si="11"/>
        <v>923</v>
      </c>
      <c r="N17" s="171">
        <v>0.41</v>
      </c>
      <c r="O17" s="154">
        <f t="shared" si="12"/>
        <v>378.4</v>
      </c>
      <c r="P17" s="154">
        <f t="shared" si="13"/>
        <v>1301.4000000000001</v>
      </c>
      <c r="Q17" s="154">
        <f t="shared" si="14"/>
        <v>1041.0999999999999</v>
      </c>
      <c r="R17" s="154">
        <f t="shared" si="15"/>
        <v>1041.0999999999999</v>
      </c>
      <c r="S17" s="154">
        <f t="shared" si="16"/>
        <v>108.3</v>
      </c>
      <c r="T17" s="154">
        <f t="shared" si="17"/>
        <v>3491.9</v>
      </c>
      <c r="U17" s="1955"/>
      <c r="V17" s="155">
        <f t="shared" si="0"/>
        <v>3491.9</v>
      </c>
      <c r="W17" s="155">
        <f t="shared" si="20"/>
        <v>1054.5999999999999</v>
      </c>
      <c r="X17" s="278">
        <v>3</v>
      </c>
      <c r="Y17" s="24">
        <v>30</v>
      </c>
      <c r="Z17" s="48">
        <f t="shared" si="1"/>
        <v>90</v>
      </c>
      <c r="AA17" s="54">
        <v>2</v>
      </c>
      <c r="AB17" s="24">
        <v>15</v>
      </c>
      <c r="AC17" s="48">
        <f t="shared" si="2"/>
        <v>30</v>
      </c>
      <c r="AD17" s="54"/>
      <c r="AE17" s="24">
        <v>30</v>
      </c>
      <c r="AF17" s="48">
        <f t="shared" si="3"/>
        <v>0</v>
      </c>
      <c r="AG17" s="48">
        <f t="shared" si="4"/>
        <v>36</v>
      </c>
      <c r="AH17" s="48">
        <f t="shared" si="5"/>
        <v>156</v>
      </c>
      <c r="AI17" s="34">
        <f t="shared" si="6"/>
        <v>58198.3</v>
      </c>
      <c r="AJ17" s="34"/>
      <c r="AK17" s="34">
        <f t="shared" si="7"/>
        <v>698.4</v>
      </c>
      <c r="AL17" s="34">
        <f t="shared" si="18"/>
        <v>244.6</v>
      </c>
      <c r="AM17" s="51">
        <v>0.30199999999999999</v>
      </c>
      <c r="AS17" s="51">
        <f t="shared" si="8"/>
        <v>12.71</v>
      </c>
    </row>
    <row r="18" spans="1:45" ht="26.4" x14ac:dyDescent="0.25">
      <c r="A18" s="278">
        <v>10</v>
      </c>
      <c r="B18" s="44" t="s">
        <v>131</v>
      </c>
      <c r="C18" s="167">
        <v>1</v>
      </c>
      <c r="D18" s="177">
        <v>8.4730000000000008</v>
      </c>
      <c r="E18" s="171">
        <f>C18*D18</f>
        <v>8.4700000000000006</v>
      </c>
      <c r="F18" s="154">
        <f t="shared" si="9"/>
        <v>101.6</v>
      </c>
      <c r="G18" s="154"/>
      <c r="H18" s="154"/>
      <c r="I18" s="154"/>
      <c r="J18" s="154"/>
      <c r="K18" s="154">
        <f>F18*0.4</f>
        <v>40.6</v>
      </c>
      <c r="L18" s="154">
        <f t="shared" si="10"/>
        <v>34.9</v>
      </c>
      <c r="M18" s="154">
        <f t="shared" si="11"/>
        <v>177.1</v>
      </c>
      <c r="N18" s="171">
        <v>0.41</v>
      </c>
      <c r="O18" s="154">
        <f t="shared" si="12"/>
        <v>72.599999999999994</v>
      </c>
      <c r="P18" s="154">
        <f t="shared" si="13"/>
        <v>249.7</v>
      </c>
      <c r="Q18" s="154">
        <f t="shared" si="14"/>
        <v>199.8</v>
      </c>
      <c r="R18" s="154">
        <f t="shared" si="15"/>
        <v>199.8</v>
      </c>
      <c r="S18" s="154">
        <f t="shared" si="16"/>
        <v>20.8</v>
      </c>
      <c r="T18" s="154">
        <f t="shared" si="17"/>
        <v>670.1</v>
      </c>
      <c r="U18" s="1955"/>
      <c r="V18" s="155">
        <f t="shared" si="0"/>
        <v>670.1</v>
      </c>
      <c r="W18" s="155">
        <f t="shared" si="20"/>
        <v>202.4</v>
      </c>
      <c r="X18" s="278">
        <v>1</v>
      </c>
      <c r="Y18" s="24">
        <v>35</v>
      </c>
      <c r="Z18" s="48">
        <f t="shared" si="1"/>
        <v>35</v>
      </c>
      <c r="AA18" s="54"/>
      <c r="AB18" s="24">
        <v>17.5</v>
      </c>
      <c r="AC18" s="48">
        <f t="shared" si="2"/>
        <v>0</v>
      </c>
      <c r="AD18" s="54"/>
      <c r="AE18" s="24">
        <v>35</v>
      </c>
      <c r="AF18" s="48">
        <f t="shared" si="3"/>
        <v>0</v>
      </c>
      <c r="AG18" s="48">
        <f t="shared" si="4"/>
        <v>10.5</v>
      </c>
      <c r="AH18" s="48">
        <f t="shared" si="5"/>
        <v>45.5</v>
      </c>
      <c r="AI18" s="34">
        <f t="shared" si="6"/>
        <v>55841.7</v>
      </c>
      <c r="AJ18" s="34"/>
      <c r="AK18" s="34">
        <f t="shared" si="7"/>
        <v>670.1</v>
      </c>
      <c r="AL18" s="34">
        <f t="shared" si="18"/>
        <v>239.4</v>
      </c>
      <c r="AM18" s="51">
        <v>0.30199999999999999</v>
      </c>
      <c r="AS18" s="51">
        <f t="shared" si="8"/>
        <v>12.71</v>
      </c>
    </row>
    <row r="19" spans="1:45" x14ac:dyDescent="0.25">
      <c r="A19" s="278">
        <v>11</v>
      </c>
      <c r="B19" s="178" t="s">
        <v>104</v>
      </c>
      <c r="C19" s="179">
        <v>1</v>
      </c>
      <c r="D19" s="177">
        <v>8.4730000000000008</v>
      </c>
      <c r="E19" s="171">
        <f t="shared" si="19"/>
        <v>8.4700000000000006</v>
      </c>
      <c r="F19" s="154">
        <f t="shared" si="9"/>
        <v>101.6</v>
      </c>
      <c r="G19" s="154"/>
      <c r="H19" s="154"/>
      <c r="I19" s="154"/>
      <c r="J19" s="154"/>
      <c r="K19" s="154">
        <f>F19*0.4</f>
        <v>40.6</v>
      </c>
      <c r="L19" s="154">
        <f t="shared" si="10"/>
        <v>34.9</v>
      </c>
      <c r="M19" s="154">
        <f t="shared" si="11"/>
        <v>177.1</v>
      </c>
      <c r="N19" s="171">
        <v>0.41</v>
      </c>
      <c r="O19" s="154">
        <f t="shared" si="12"/>
        <v>72.599999999999994</v>
      </c>
      <c r="P19" s="154">
        <f t="shared" si="13"/>
        <v>249.7</v>
      </c>
      <c r="Q19" s="154">
        <f t="shared" si="14"/>
        <v>199.8</v>
      </c>
      <c r="R19" s="154">
        <f t="shared" si="15"/>
        <v>199.8</v>
      </c>
      <c r="S19" s="154">
        <f t="shared" si="16"/>
        <v>20.8</v>
      </c>
      <c r="T19" s="154">
        <f t="shared" si="17"/>
        <v>670.1</v>
      </c>
      <c r="U19" s="1955"/>
      <c r="V19" s="155">
        <f t="shared" si="0"/>
        <v>670.1</v>
      </c>
      <c r="W19" s="155">
        <f t="shared" si="20"/>
        <v>202.4</v>
      </c>
      <c r="X19" s="278">
        <v>1</v>
      </c>
      <c r="Y19" s="24">
        <v>30</v>
      </c>
      <c r="Z19" s="48">
        <f t="shared" si="1"/>
        <v>30</v>
      </c>
      <c r="AA19" s="54"/>
      <c r="AB19" s="24">
        <v>15</v>
      </c>
      <c r="AC19" s="48">
        <f t="shared" si="2"/>
        <v>0</v>
      </c>
      <c r="AD19" s="54"/>
      <c r="AE19" s="24">
        <v>30</v>
      </c>
      <c r="AF19" s="48">
        <f t="shared" si="3"/>
        <v>0</v>
      </c>
      <c r="AG19" s="48">
        <f t="shared" si="4"/>
        <v>9</v>
      </c>
      <c r="AH19" s="48">
        <f t="shared" si="5"/>
        <v>39</v>
      </c>
      <c r="AI19" s="34">
        <f t="shared" si="6"/>
        <v>55841.7</v>
      </c>
      <c r="AJ19" s="34"/>
      <c r="AK19" s="34">
        <f t="shared" si="7"/>
        <v>670.1</v>
      </c>
      <c r="AL19" s="34">
        <f t="shared" si="18"/>
        <v>239.4</v>
      </c>
      <c r="AM19" s="51">
        <v>0.30199999999999999</v>
      </c>
      <c r="AS19" s="51">
        <f t="shared" si="8"/>
        <v>12.71</v>
      </c>
    </row>
    <row r="20" spans="1:45" x14ac:dyDescent="0.25">
      <c r="A20" s="278">
        <v>12</v>
      </c>
      <c r="B20" s="176" t="s">
        <v>20</v>
      </c>
      <c r="C20" s="180">
        <v>2</v>
      </c>
      <c r="D20" s="177">
        <v>8.4730000000000008</v>
      </c>
      <c r="E20" s="171">
        <f t="shared" si="19"/>
        <v>16.95</v>
      </c>
      <c r="F20" s="154">
        <f t="shared" si="9"/>
        <v>203.4</v>
      </c>
      <c r="G20" s="154"/>
      <c r="H20" s="154"/>
      <c r="I20" s="154"/>
      <c r="J20" s="154">
        <f>D20*0.1*12</f>
        <v>10.199999999999999</v>
      </c>
      <c r="K20" s="154">
        <f>D20*0.35*12</f>
        <v>35.6</v>
      </c>
      <c r="L20" s="154">
        <f t="shared" si="10"/>
        <v>69.8</v>
      </c>
      <c r="M20" s="154">
        <f t="shared" si="11"/>
        <v>319</v>
      </c>
      <c r="N20" s="171">
        <v>0.41</v>
      </c>
      <c r="O20" s="154">
        <f t="shared" si="12"/>
        <v>130.80000000000001</v>
      </c>
      <c r="P20" s="154">
        <f t="shared" si="13"/>
        <v>449.8</v>
      </c>
      <c r="Q20" s="154">
        <f t="shared" si="14"/>
        <v>359.8</v>
      </c>
      <c r="R20" s="154">
        <f t="shared" si="15"/>
        <v>359.8</v>
      </c>
      <c r="S20" s="154">
        <f t="shared" si="16"/>
        <v>37.4</v>
      </c>
      <c r="T20" s="154">
        <f t="shared" si="17"/>
        <v>1206.8</v>
      </c>
      <c r="U20" s="1955"/>
      <c r="V20" s="155">
        <f t="shared" si="0"/>
        <v>1206.8</v>
      </c>
      <c r="W20" s="155">
        <f t="shared" si="20"/>
        <v>364.5</v>
      </c>
      <c r="X20" s="278">
        <v>1</v>
      </c>
      <c r="Y20" s="24">
        <v>30</v>
      </c>
      <c r="Z20" s="48">
        <f t="shared" si="1"/>
        <v>30</v>
      </c>
      <c r="AA20" s="278">
        <v>1</v>
      </c>
      <c r="AB20" s="24">
        <v>15</v>
      </c>
      <c r="AC20" s="48">
        <f t="shared" si="2"/>
        <v>15</v>
      </c>
      <c r="AD20" s="278"/>
      <c r="AE20" s="24">
        <v>30</v>
      </c>
      <c r="AF20" s="48">
        <f t="shared" si="3"/>
        <v>0</v>
      </c>
      <c r="AG20" s="48">
        <f t="shared" si="4"/>
        <v>13.5</v>
      </c>
      <c r="AH20" s="48">
        <f t="shared" si="5"/>
        <v>58.5</v>
      </c>
      <c r="AI20" s="34">
        <f t="shared" si="6"/>
        <v>50283.3</v>
      </c>
      <c r="AJ20" s="34"/>
      <c r="AK20" s="34">
        <f t="shared" si="7"/>
        <v>603.4</v>
      </c>
      <c r="AL20" s="34">
        <f t="shared" si="18"/>
        <v>227.3</v>
      </c>
      <c r="AM20" s="51">
        <v>0.30199999999999999</v>
      </c>
      <c r="AS20" s="51">
        <f t="shared" si="8"/>
        <v>12.71</v>
      </c>
    </row>
    <row r="21" spans="1:45" ht="26.4" x14ac:dyDescent="0.25">
      <c r="A21" s="278">
        <v>13</v>
      </c>
      <c r="B21" s="181" t="s">
        <v>106</v>
      </c>
      <c r="C21" s="172">
        <v>12</v>
      </c>
      <c r="D21" s="182">
        <v>8.4730000000000008</v>
      </c>
      <c r="E21" s="171">
        <f t="shared" si="19"/>
        <v>101.68</v>
      </c>
      <c r="F21" s="154">
        <f t="shared" si="9"/>
        <v>1220.2</v>
      </c>
      <c r="G21" s="154"/>
      <c r="H21" s="154"/>
      <c r="I21" s="154"/>
      <c r="J21" s="154"/>
      <c r="K21" s="154">
        <f>D21*0.2*12+D21*0.4*12+D21*0.2*30</f>
        <v>111.8</v>
      </c>
      <c r="L21" s="154">
        <f t="shared" si="10"/>
        <v>418.7</v>
      </c>
      <c r="M21" s="154">
        <f t="shared" si="11"/>
        <v>1750.7</v>
      </c>
      <c r="N21" s="171">
        <v>0.47</v>
      </c>
      <c r="O21" s="154">
        <f t="shared" si="12"/>
        <v>822.8</v>
      </c>
      <c r="P21" s="154">
        <f t="shared" si="13"/>
        <v>2573.5</v>
      </c>
      <c r="Q21" s="154">
        <f t="shared" si="14"/>
        <v>2058.8000000000002</v>
      </c>
      <c r="R21" s="154">
        <f t="shared" si="15"/>
        <v>2058.8000000000002</v>
      </c>
      <c r="S21" s="154">
        <f t="shared" si="16"/>
        <v>214.1</v>
      </c>
      <c r="T21" s="154">
        <f t="shared" si="17"/>
        <v>6905.2</v>
      </c>
      <c r="U21" s="1955"/>
      <c r="V21" s="155">
        <f t="shared" si="0"/>
        <v>6905.2</v>
      </c>
      <c r="W21" s="155">
        <f t="shared" si="20"/>
        <v>2085.4</v>
      </c>
      <c r="X21" s="272">
        <v>10</v>
      </c>
      <c r="Y21" s="163">
        <v>30</v>
      </c>
      <c r="Z21" s="164">
        <f t="shared" si="1"/>
        <v>300</v>
      </c>
      <c r="AA21" s="272">
        <v>6</v>
      </c>
      <c r="AB21" s="163">
        <v>15</v>
      </c>
      <c r="AC21" s="164">
        <f t="shared" si="2"/>
        <v>90</v>
      </c>
      <c r="AD21" s="272"/>
      <c r="AE21" s="163">
        <v>30</v>
      </c>
      <c r="AF21" s="164">
        <f t="shared" si="3"/>
        <v>0</v>
      </c>
      <c r="AG21" s="164">
        <f t="shared" si="4"/>
        <v>117</v>
      </c>
      <c r="AH21" s="164">
        <f t="shared" si="5"/>
        <v>507</v>
      </c>
      <c r="AI21" s="34">
        <f t="shared" si="6"/>
        <v>47952.800000000003</v>
      </c>
      <c r="AJ21" s="34"/>
      <c r="AK21" s="34">
        <f t="shared" si="7"/>
        <v>575.4</v>
      </c>
      <c r="AL21" s="34">
        <f t="shared" si="18"/>
        <v>222.2</v>
      </c>
      <c r="AM21" s="51">
        <v>0.30199999999999999</v>
      </c>
      <c r="AS21" s="51">
        <f t="shared" si="8"/>
        <v>12.71</v>
      </c>
    </row>
    <row r="22" spans="1:45" s="188" customFormat="1" x14ac:dyDescent="0.25">
      <c r="A22" s="278">
        <v>14</v>
      </c>
      <c r="B22" s="106" t="s">
        <v>107</v>
      </c>
      <c r="C22" s="172">
        <f>2-1</f>
        <v>1</v>
      </c>
      <c r="D22" s="183">
        <v>4.3769999999999998</v>
      </c>
      <c r="E22" s="184">
        <f t="shared" si="19"/>
        <v>4.38</v>
      </c>
      <c r="F22" s="185">
        <f t="shared" si="9"/>
        <v>52.6</v>
      </c>
      <c r="G22" s="155"/>
      <c r="H22" s="155"/>
      <c r="I22" s="155"/>
      <c r="J22" s="155"/>
      <c r="K22" s="155"/>
      <c r="L22" s="154">
        <v>38.299999999999997</v>
      </c>
      <c r="M22" s="186">
        <f t="shared" si="11"/>
        <v>90.9</v>
      </c>
      <c r="N22" s="184">
        <v>0.47</v>
      </c>
      <c r="O22" s="186">
        <f t="shared" si="12"/>
        <v>42.7</v>
      </c>
      <c r="P22" s="186">
        <f t="shared" si="13"/>
        <v>133.6</v>
      </c>
      <c r="Q22" s="186">
        <f t="shared" si="14"/>
        <v>106.9</v>
      </c>
      <c r="R22" s="155">
        <f t="shared" si="15"/>
        <v>106.9</v>
      </c>
      <c r="S22" s="186">
        <f t="shared" si="16"/>
        <v>11.1</v>
      </c>
      <c r="T22" s="186">
        <f t="shared" si="17"/>
        <v>358.5</v>
      </c>
      <c r="U22" s="1956"/>
      <c r="V22" s="186">
        <f>T22*$U$9</f>
        <v>358.5</v>
      </c>
      <c r="W22" s="155">
        <f t="shared" si="20"/>
        <v>108.3</v>
      </c>
      <c r="X22" s="278">
        <v>1</v>
      </c>
      <c r="Y22" s="24">
        <v>30</v>
      </c>
      <c r="Z22" s="48">
        <f t="shared" si="1"/>
        <v>30</v>
      </c>
      <c r="AA22" s="278"/>
      <c r="AB22" s="24">
        <v>15</v>
      </c>
      <c r="AC22" s="48">
        <f t="shared" si="2"/>
        <v>0</v>
      </c>
      <c r="AD22" s="278">
        <v>1</v>
      </c>
      <c r="AE22" s="24">
        <v>30</v>
      </c>
      <c r="AF22" s="48">
        <f t="shared" si="3"/>
        <v>30</v>
      </c>
      <c r="AG22" s="48">
        <f t="shared" si="4"/>
        <v>18</v>
      </c>
      <c r="AH22" s="48">
        <f t="shared" si="5"/>
        <v>78</v>
      </c>
      <c r="AI22" s="34">
        <f t="shared" si="6"/>
        <v>29875</v>
      </c>
      <c r="AJ22" s="187"/>
      <c r="AK22" s="34">
        <f t="shared" si="7"/>
        <v>358.5</v>
      </c>
      <c r="AL22" s="34">
        <f t="shared" si="18"/>
        <v>182.7</v>
      </c>
      <c r="AM22" s="51">
        <v>0.30199999999999999</v>
      </c>
      <c r="AN22" s="22"/>
      <c r="AO22" s="22"/>
      <c r="AP22" s="22"/>
      <c r="AQ22" s="22"/>
      <c r="AS22" s="51">
        <f t="shared" si="8"/>
        <v>6.5659999999999998</v>
      </c>
    </row>
    <row r="23" spans="1:45" s="33" customFormat="1" ht="20.25" customHeight="1" x14ac:dyDescent="0.25">
      <c r="A23" s="1951" t="s">
        <v>72</v>
      </c>
      <c r="B23" s="1951"/>
      <c r="C23" s="189">
        <f t="shared" ref="C23:AH23" si="21">SUM(C9:C22)</f>
        <v>126</v>
      </c>
      <c r="D23" s="156">
        <f t="shared" si="21"/>
        <v>141.6</v>
      </c>
      <c r="E23" s="156">
        <f t="shared" si="21"/>
        <v>1152.5999999999999</v>
      </c>
      <c r="F23" s="156">
        <f t="shared" si="21"/>
        <v>13830.6</v>
      </c>
      <c r="G23" s="156">
        <f t="shared" si="21"/>
        <v>0</v>
      </c>
      <c r="H23" s="156">
        <f t="shared" si="21"/>
        <v>0</v>
      </c>
      <c r="I23" s="156">
        <f t="shared" si="21"/>
        <v>48</v>
      </c>
      <c r="J23" s="156">
        <f t="shared" si="21"/>
        <v>671.1</v>
      </c>
      <c r="K23" s="156">
        <f t="shared" si="21"/>
        <v>1675.5</v>
      </c>
      <c r="L23" s="156">
        <f t="shared" si="21"/>
        <v>4765.8999999999996</v>
      </c>
      <c r="M23" s="156">
        <f t="shared" si="21"/>
        <v>20991.1</v>
      </c>
      <c r="N23" s="156"/>
      <c r="O23" s="156">
        <f t="shared" si="21"/>
        <v>8876.2999999999993</v>
      </c>
      <c r="P23" s="156">
        <f t="shared" si="21"/>
        <v>29867.4</v>
      </c>
      <c r="Q23" s="156">
        <f t="shared" si="21"/>
        <v>23893.9</v>
      </c>
      <c r="R23" s="156">
        <f t="shared" si="21"/>
        <v>23893.9</v>
      </c>
      <c r="S23" s="156">
        <f t="shared" si="21"/>
        <v>2485</v>
      </c>
      <c r="T23" s="156">
        <f t="shared" si="21"/>
        <v>80140.2</v>
      </c>
      <c r="U23" s="156">
        <f t="shared" si="21"/>
        <v>1</v>
      </c>
      <c r="V23" s="156">
        <f t="shared" si="21"/>
        <v>80140.2</v>
      </c>
      <c r="W23" s="156">
        <f>SUM(W9:W22)</f>
        <v>24003.599999999999</v>
      </c>
      <c r="X23" s="156">
        <f>SUM(X9:X22)</f>
        <v>75</v>
      </c>
      <c r="Y23" s="156">
        <f t="shared" si="21"/>
        <v>425</v>
      </c>
      <c r="Z23" s="190">
        <f t="shared" si="21"/>
        <v>2255</v>
      </c>
      <c r="AA23" s="156">
        <f t="shared" si="21"/>
        <v>30</v>
      </c>
      <c r="AB23" s="156">
        <f t="shared" si="21"/>
        <v>212.5</v>
      </c>
      <c r="AC23" s="190">
        <f t="shared" si="21"/>
        <v>450</v>
      </c>
      <c r="AD23" s="156">
        <f t="shared" si="21"/>
        <v>16</v>
      </c>
      <c r="AE23" s="156">
        <f t="shared" si="21"/>
        <v>425</v>
      </c>
      <c r="AF23" s="190">
        <f t="shared" si="21"/>
        <v>480</v>
      </c>
      <c r="AG23" s="190">
        <f t="shared" si="21"/>
        <v>955.5</v>
      </c>
      <c r="AH23" s="190">
        <f t="shared" si="21"/>
        <v>4140.5</v>
      </c>
      <c r="AI23" s="34"/>
      <c r="AJ23" s="187"/>
      <c r="AK23" s="34"/>
      <c r="AL23" s="34"/>
      <c r="AM23" s="51"/>
      <c r="AN23" s="22"/>
      <c r="AO23" s="22"/>
      <c r="AP23" s="22"/>
      <c r="AQ23" s="22"/>
      <c r="AS23" s="51"/>
    </row>
    <row r="24" spans="1:45" s="192" customFormat="1" ht="14.25" customHeight="1" x14ac:dyDescent="0.25">
      <c r="A24" s="33"/>
      <c r="B24" s="22"/>
      <c r="C24" s="191"/>
      <c r="D24" s="22"/>
      <c r="E24" s="22"/>
      <c r="F24" s="22"/>
      <c r="G24" s="39"/>
      <c r="H24" s="39"/>
      <c r="I24" s="39"/>
      <c r="J24" s="39"/>
      <c r="K24" s="39"/>
      <c r="L24" s="39"/>
      <c r="M24" s="39"/>
      <c r="N24" s="39"/>
      <c r="O24" s="39"/>
      <c r="P24" s="39"/>
      <c r="Q24" s="39"/>
      <c r="R24" s="39"/>
      <c r="S24" s="39"/>
      <c r="T24" s="39"/>
      <c r="U24" s="22"/>
      <c r="V24" s="34"/>
      <c r="W24" s="66"/>
      <c r="X24" s="39"/>
      <c r="Y24" s="22"/>
      <c r="Z24" s="22"/>
      <c r="AA24" s="39"/>
      <c r="AB24" s="22"/>
      <c r="AC24" s="22"/>
      <c r="AD24" s="39"/>
      <c r="AE24" s="22"/>
      <c r="AF24" s="22"/>
      <c r="AG24" s="39"/>
      <c r="AH24" s="39"/>
      <c r="AI24" s="34"/>
      <c r="AJ24" s="187"/>
      <c r="AK24" s="34"/>
      <c r="AL24" s="34"/>
      <c r="AM24" s="51"/>
      <c r="AN24" s="22"/>
      <c r="AO24" s="22"/>
      <c r="AP24" s="22"/>
      <c r="AQ24" s="22"/>
      <c r="AS24" s="51"/>
    </row>
    <row r="25" spans="1:45" s="192" customFormat="1" ht="14.25" customHeight="1" x14ac:dyDescent="0.25">
      <c r="A25" s="33"/>
      <c r="B25" s="22"/>
      <c r="C25" s="191"/>
      <c r="D25" s="22"/>
      <c r="E25" s="22"/>
      <c r="F25" s="22"/>
      <c r="G25" s="39"/>
      <c r="H25" s="39"/>
      <c r="I25" s="39"/>
      <c r="J25" s="39"/>
      <c r="K25" s="39"/>
      <c r="L25" s="39"/>
      <c r="M25" s="39"/>
      <c r="N25" s="39"/>
      <c r="O25" s="39"/>
      <c r="P25" s="39"/>
      <c r="Q25" s="39"/>
      <c r="R25" s="39"/>
      <c r="S25" s="39"/>
      <c r="T25" s="39"/>
      <c r="U25" s="22"/>
      <c r="V25" s="66"/>
      <c r="W25" s="34"/>
      <c r="X25" s="39"/>
      <c r="Y25" s="22"/>
      <c r="Z25" s="22"/>
      <c r="AA25" s="39"/>
      <c r="AB25" s="22"/>
      <c r="AC25" s="22"/>
      <c r="AD25" s="39"/>
      <c r="AE25" s="22"/>
      <c r="AF25" s="22"/>
      <c r="AG25" s="39"/>
      <c r="AH25" s="39"/>
      <c r="AI25" s="34"/>
      <c r="AJ25" s="187"/>
      <c r="AK25" s="34"/>
      <c r="AL25" s="34"/>
      <c r="AM25" s="51"/>
      <c r="AN25" s="22"/>
      <c r="AO25" s="22"/>
      <c r="AP25" s="22"/>
      <c r="AQ25" s="22"/>
      <c r="AS25" s="51"/>
    </row>
    <row r="26" spans="1:45" s="192" customFormat="1" ht="58.5" customHeight="1" x14ac:dyDescent="0.25">
      <c r="A26" s="33"/>
      <c r="B26" s="22"/>
      <c r="C26" s="191"/>
      <c r="D26" s="22"/>
      <c r="E26" s="22"/>
      <c r="F26" s="22"/>
      <c r="G26" s="1545" t="s">
        <v>140</v>
      </c>
      <c r="H26" s="1545"/>
      <c r="I26" s="1545" t="s">
        <v>143</v>
      </c>
      <c r="J26" s="1545"/>
      <c r="K26" s="1540" t="s">
        <v>135</v>
      </c>
      <c r="L26" s="1541"/>
      <c r="M26" s="1545" t="s">
        <v>128</v>
      </c>
      <c r="N26" s="1545"/>
      <c r="Q26" s="39"/>
      <c r="R26" s="39"/>
      <c r="S26" s="39"/>
      <c r="T26" s="39"/>
      <c r="U26" s="22"/>
      <c r="V26" s="34"/>
      <c r="W26" s="34"/>
      <c r="X26" s="39"/>
      <c r="Y26" s="22"/>
      <c r="Z26" s="22"/>
      <c r="AA26" s="39"/>
      <c r="AB26" s="22"/>
      <c r="AC26" s="22"/>
      <c r="AD26" s="39"/>
      <c r="AE26" s="22"/>
      <c r="AF26" s="22"/>
      <c r="AG26" s="39"/>
      <c r="AH26" s="39"/>
      <c r="AI26" s="34"/>
      <c r="AJ26" s="187"/>
      <c r="AK26" s="34"/>
      <c r="AL26" s="34"/>
      <c r="AM26" s="51"/>
      <c r="AN26" s="22"/>
      <c r="AO26" s="22"/>
      <c r="AP26" s="22"/>
      <c r="AQ26" s="22"/>
      <c r="AS26" s="51"/>
    </row>
    <row r="27" spans="1:45" s="192" customFormat="1" ht="14.25" customHeight="1" x14ac:dyDescent="0.25">
      <c r="A27" s="33"/>
      <c r="B27" s="22"/>
      <c r="C27" s="191"/>
      <c r="D27" s="22"/>
      <c r="E27" s="22"/>
      <c r="F27" s="22"/>
      <c r="G27" s="279">
        <v>991</v>
      </c>
      <c r="H27" s="279">
        <v>992</v>
      </c>
      <c r="I27" s="279">
        <v>991</v>
      </c>
      <c r="J27" s="279">
        <v>992</v>
      </c>
      <c r="K27" s="279">
        <v>991</v>
      </c>
      <c r="L27" s="279">
        <v>992</v>
      </c>
      <c r="M27" s="279">
        <v>991</v>
      </c>
      <c r="N27" s="279">
        <v>992</v>
      </c>
      <c r="Q27" s="39"/>
      <c r="R27" s="39"/>
      <c r="S27" s="39"/>
      <c r="T27" s="39"/>
      <c r="U27" s="22"/>
      <c r="V27" s="34"/>
      <c r="W27" s="34"/>
      <c r="X27" s="39"/>
      <c r="Y27" s="22"/>
      <c r="Z27" s="22"/>
      <c r="AA27" s="39"/>
      <c r="AB27" s="22"/>
      <c r="AC27" s="22"/>
      <c r="AD27" s="39"/>
      <c r="AE27" s="22"/>
      <c r="AF27" s="22"/>
      <c r="AG27" s="39"/>
      <c r="AH27" s="39"/>
      <c r="AI27" s="34"/>
      <c r="AJ27" s="187"/>
      <c r="AK27" s="34"/>
      <c r="AL27" s="34"/>
      <c r="AM27" s="51"/>
      <c r="AN27" s="22"/>
      <c r="AO27" s="22"/>
      <c r="AP27" s="22"/>
      <c r="AQ27" s="22"/>
      <c r="AS27" s="51"/>
    </row>
    <row r="28" spans="1:45" s="192" customFormat="1" ht="14.25" customHeight="1" x14ac:dyDescent="0.25">
      <c r="A28" s="33"/>
      <c r="B28" s="22"/>
      <c r="C28" s="191"/>
      <c r="D28" s="22"/>
      <c r="E28" s="22"/>
      <c r="F28" s="22"/>
      <c r="G28" s="29">
        <f>76536+3092.6+824.1</f>
        <v>80452.7</v>
      </c>
      <c r="H28" s="29">
        <v>24137.9</v>
      </c>
      <c r="I28" s="29">
        <v>312.5</v>
      </c>
      <c r="J28" s="29">
        <v>94.4</v>
      </c>
      <c r="K28" s="29">
        <f>V23</f>
        <v>80140.2</v>
      </c>
      <c r="L28" s="29">
        <f>W23</f>
        <v>24003.599999999999</v>
      </c>
      <c r="M28" s="29">
        <f>G28-I28-K28</f>
        <v>0</v>
      </c>
      <c r="N28" s="29">
        <f>H28-J28-L28</f>
        <v>39.9</v>
      </c>
      <c r="Q28" s="39"/>
      <c r="R28" s="39"/>
      <c r="S28" s="39"/>
      <c r="T28" s="39"/>
      <c r="U28" s="22"/>
      <c r="V28" s="34"/>
      <c r="W28" s="34"/>
      <c r="X28" s="39"/>
      <c r="Y28" s="22"/>
      <c r="Z28" s="22"/>
      <c r="AA28" s="39"/>
      <c r="AB28" s="22"/>
      <c r="AC28" s="22"/>
      <c r="AD28" s="39"/>
      <c r="AE28" s="22"/>
      <c r="AF28" s="22"/>
      <c r="AG28" s="39"/>
      <c r="AH28" s="39"/>
      <c r="AI28" s="34"/>
      <c r="AJ28" s="187"/>
      <c r="AK28" s="34"/>
      <c r="AL28" s="34"/>
      <c r="AM28" s="51"/>
      <c r="AN28" s="22"/>
      <c r="AO28" s="22"/>
      <c r="AP28" s="22"/>
      <c r="AQ28" s="22"/>
      <c r="AS28" s="51"/>
    </row>
    <row r="29" spans="1:45" s="192" customFormat="1" ht="14.25" customHeight="1" x14ac:dyDescent="0.25">
      <c r="A29" s="33"/>
      <c r="B29" s="22"/>
      <c r="C29" s="191"/>
      <c r="D29" s="22"/>
      <c r="E29" s="22"/>
      <c r="F29" s="22"/>
      <c r="G29" s="39"/>
      <c r="H29" s="39"/>
      <c r="I29" s="157"/>
      <c r="J29" s="157"/>
      <c r="K29" s="157"/>
      <c r="L29" s="157"/>
      <c r="M29" s="39"/>
      <c r="N29" s="39"/>
      <c r="O29" s="39"/>
      <c r="P29" s="39"/>
      <c r="Q29" s="39"/>
      <c r="R29" s="39"/>
      <c r="S29" s="39"/>
      <c r="T29" s="39"/>
      <c r="U29" s="22"/>
      <c r="V29" s="34"/>
      <c r="W29" s="34"/>
      <c r="X29" s="39"/>
      <c r="Y29" s="22"/>
      <c r="Z29" s="22"/>
      <c r="AA29" s="39"/>
      <c r="AB29" s="22"/>
      <c r="AC29" s="22"/>
      <c r="AD29" s="39"/>
      <c r="AE29" s="22"/>
      <c r="AF29" s="22"/>
      <c r="AG29" s="39"/>
      <c r="AH29" s="39"/>
      <c r="AI29" s="34"/>
      <c r="AJ29" s="187"/>
      <c r="AK29" s="34"/>
      <c r="AL29" s="34"/>
      <c r="AM29" s="51"/>
      <c r="AN29" s="22"/>
      <c r="AO29" s="22"/>
      <c r="AP29" s="22"/>
      <c r="AQ29" s="22"/>
      <c r="AS29" s="51"/>
    </row>
    <row r="30" spans="1:45" s="192" customFormat="1" ht="14.25" customHeight="1" x14ac:dyDescent="0.25">
      <c r="A30" s="33"/>
      <c r="B30" s="22"/>
      <c r="C30" s="191"/>
      <c r="D30" s="22"/>
      <c r="E30" s="22"/>
      <c r="F30" s="22"/>
      <c r="G30" s="39"/>
      <c r="H30" s="39"/>
      <c r="I30" s="157"/>
      <c r="J30" s="157"/>
      <c r="K30" s="157"/>
      <c r="L30" s="157"/>
      <c r="M30" s="39"/>
      <c r="N30" s="39"/>
      <c r="O30" s="39"/>
      <c r="P30" s="39"/>
      <c r="Q30" s="39"/>
      <c r="R30" s="39"/>
      <c r="S30" s="39"/>
      <c r="T30" s="39"/>
      <c r="U30" s="22"/>
      <c r="V30" s="34"/>
      <c r="W30" s="34"/>
      <c r="X30" s="39"/>
      <c r="Y30" s="22"/>
      <c r="Z30" s="22"/>
      <c r="AA30" s="39"/>
      <c r="AB30" s="22"/>
      <c r="AC30" s="22"/>
      <c r="AD30" s="39"/>
      <c r="AE30" s="22"/>
      <c r="AF30" s="22"/>
      <c r="AG30" s="39"/>
      <c r="AH30" s="39"/>
      <c r="AI30" s="34"/>
      <c r="AJ30" s="187"/>
      <c r="AK30" s="34"/>
      <c r="AL30" s="34"/>
      <c r="AM30" s="51"/>
      <c r="AN30" s="22"/>
      <c r="AO30" s="22"/>
      <c r="AP30" s="22"/>
      <c r="AQ30" s="22"/>
      <c r="AS30" s="51"/>
    </row>
    <row r="31" spans="1:45" s="192" customFormat="1" ht="14.25" customHeight="1" x14ac:dyDescent="0.25">
      <c r="A31" s="33"/>
      <c r="B31" s="22"/>
      <c r="C31" s="191"/>
      <c r="D31" s="22"/>
      <c r="E31" s="22"/>
      <c r="F31" s="22"/>
      <c r="G31" s="39"/>
      <c r="H31" s="39"/>
      <c r="I31" s="39"/>
      <c r="J31" s="39"/>
      <c r="K31" s="39"/>
      <c r="L31" s="39"/>
      <c r="M31" s="39"/>
      <c r="N31" s="39"/>
      <c r="O31" s="39"/>
      <c r="P31" s="39"/>
      <c r="Q31" s="39"/>
      <c r="R31" s="39"/>
      <c r="S31" s="39"/>
      <c r="T31" s="39"/>
      <c r="U31" s="22"/>
      <c r="V31" s="34"/>
      <c r="W31" s="34"/>
      <c r="X31" s="39"/>
      <c r="Y31" s="22"/>
      <c r="Z31" s="22"/>
      <c r="AA31" s="39"/>
      <c r="AB31" s="22"/>
      <c r="AC31" s="22"/>
      <c r="AD31" s="39"/>
      <c r="AE31" s="22"/>
      <c r="AF31" s="22"/>
      <c r="AG31" s="39"/>
      <c r="AH31" s="39"/>
      <c r="AI31" s="34"/>
      <c r="AJ31" s="187"/>
      <c r="AK31" s="34"/>
      <c r="AL31" s="34"/>
      <c r="AM31" s="51"/>
      <c r="AN31" s="22"/>
      <c r="AO31" s="22"/>
      <c r="AP31" s="22"/>
      <c r="AQ31" s="22"/>
      <c r="AS31" s="51"/>
    </row>
    <row r="32" spans="1:45" s="192" customFormat="1" ht="14.25" customHeight="1" x14ac:dyDescent="0.25">
      <c r="A32" s="33"/>
      <c r="B32" s="22"/>
      <c r="C32" s="191"/>
      <c r="D32" s="22"/>
      <c r="E32" s="22"/>
      <c r="F32" s="22"/>
      <c r="G32" s="39"/>
      <c r="H32" s="39"/>
      <c r="I32" s="39"/>
      <c r="J32" s="39"/>
      <c r="K32" s="39"/>
      <c r="L32" s="39"/>
      <c r="M32" s="39"/>
      <c r="N32" s="39"/>
      <c r="O32" s="39"/>
      <c r="P32" s="39"/>
      <c r="Q32" s="39"/>
      <c r="R32" s="39"/>
      <c r="S32" s="39"/>
      <c r="T32" s="39"/>
      <c r="U32" s="22"/>
      <c r="V32" s="39"/>
      <c r="W32" s="39"/>
      <c r="X32" s="39"/>
      <c r="Y32" s="22"/>
      <c r="Z32" s="22"/>
      <c r="AA32" s="39"/>
      <c r="AB32" s="22"/>
      <c r="AC32" s="22"/>
      <c r="AD32" s="39"/>
      <c r="AE32" s="22"/>
      <c r="AF32" s="22"/>
      <c r="AG32" s="39"/>
      <c r="AH32" s="39"/>
      <c r="AI32" s="34"/>
      <c r="AJ32" s="187"/>
      <c r="AK32" s="34"/>
      <c r="AL32" s="34"/>
      <c r="AM32" s="51"/>
      <c r="AN32" s="22"/>
      <c r="AO32" s="22"/>
      <c r="AP32" s="22"/>
      <c r="AQ32" s="22"/>
    </row>
    <row r="33" spans="1:43" s="195" customFormat="1" ht="13.8" x14ac:dyDescent="0.25">
      <c r="A33" s="165"/>
      <c r="B33" s="193"/>
      <c r="C33" s="194"/>
      <c r="D33" s="194"/>
      <c r="E33" s="158"/>
      <c r="F33" s="158"/>
      <c r="G33" s="158"/>
      <c r="H33" s="158"/>
      <c r="I33" s="158"/>
      <c r="J33" s="158"/>
      <c r="K33" s="158"/>
      <c r="L33" s="158"/>
      <c r="M33" s="157"/>
      <c r="N33" s="157"/>
      <c r="O33" s="157"/>
      <c r="P33" s="157"/>
      <c r="Q33" s="157"/>
      <c r="R33" s="157"/>
      <c r="S33" s="157"/>
      <c r="T33" s="157"/>
      <c r="V33" s="157"/>
      <c r="W33" s="157"/>
      <c r="Z33" s="157"/>
      <c r="AC33" s="157"/>
      <c r="AF33" s="157"/>
      <c r="AG33" s="157"/>
      <c r="AI33" s="196"/>
      <c r="AN33" s="62"/>
      <c r="AO33" s="62"/>
      <c r="AP33" s="62"/>
      <c r="AQ33" s="62"/>
    </row>
    <row r="34" spans="1:43" s="195" customFormat="1" ht="13.8" x14ac:dyDescent="0.25">
      <c r="A34" s="165"/>
      <c r="B34" s="193"/>
      <c r="C34" s="194"/>
      <c r="D34" s="194"/>
      <c r="E34" s="158"/>
      <c r="F34" s="158"/>
      <c r="G34" s="158"/>
      <c r="H34" s="158"/>
      <c r="I34" s="158"/>
      <c r="J34" s="158"/>
      <c r="K34" s="158"/>
      <c r="L34" s="158"/>
      <c r="M34" s="157"/>
      <c r="N34" s="157"/>
      <c r="O34" s="157"/>
      <c r="P34" s="157"/>
      <c r="Q34" s="157"/>
      <c r="R34" s="157"/>
      <c r="S34" s="157"/>
      <c r="T34" s="157"/>
      <c r="V34" s="157"/>
      <c r="W34" s="157"/>
      <c r="Z34" s="157"/>
      <c r="AC34" s="157"/>
      <c r="AF34" s="157"/>
      <c r="AG34" s="157"/>
      <c r="AI34" s="196"/>
      <c r="AN34" s="62"/>
      <c r="AO34" s="62"/>
      <c r="AP34" s="62"/>
      <c r="AQ34" s="62"/>
    </row>
    <row r="35" spans="1:43" s="282" customFormat="1" ht="21" x14ac:dyDescent="0.25">
      <c r="A35" s="81"/>
      <c r="B35" s="82" t="s">
        <v>138</v>
      </c>
      <c r="C35" s="83"/>
      <c r="D35" s="84"/>
      <c r="E35" s="84"/>
      <c r="F35" s="85"/>
      <c r="G35" s="85"/>
      <c r="H35" s="86"/>
      <c r="I35" s="86"/>
      <c r="J35" s="85"/>
      <c r="K35" s="30" t="s">
        <v>166</v>
      </c>
      <c r="L35" s="85"/>
      <c r="M35" s="85"/>
      <c r="N35" s="87"/>
      <c r="O35" s="85"/>
      <c r="P35" s="85"/>
      <c r="Q35" s="85"/>
      <c r="R35" s="85"/>
      <c r="S35" s="85"/>
      <c r="T35" s="85"/>
      <c r="U35" s="85"/>
      <c r="V35" s="85"/>
      <c r="W35" s="85"/>
      <c r="X35" s="85"/>
      <c r="Y35" s="85"/>
      <c r="Z35" s="85"/>
      <c r="AA35" s="85"/>
      <c r="AB35" s="85"/>
      <c r="AC35" s="85"/>
      <c r="AD35" s="85"/>
      <c r="AE35" s="85"/>
      <c r="AF35" s="85"/>
      <c r="AG35" s="85"/>
      <c r="AH35" s="85"/>
      <c r="AI35" s="85"/>
      <c r="AK35" s="88"/>
      <c r="AL35" s="88"/>
      <c r="AM35" s="88"/>
      <c r="AN35" s="88"/>
      <c r="AO35" s="88"/>
    </row>
    <row r="36" spans="1:43" s="205" customFormat="1" ht="13.8" x14ac:dyDescent="0.25">
      <c r="A36" s="197"/>
      <c r="B36" s="197"/>
      <c r="C36" s="198"/>
      <c r="D36" s="199"/>
      <c r="E36" s="199"/>
      <c r="F36" s="159"/>
      <c r="G36" s="159"/>
      <c r="H36" s="200"/>
      <c r="I36" s="200"/>
      <c r="J36" s="159"/>
      <c r="K36" s="159"/>
      <c r="L36" s="159"/>
      <c r="M36" s="159"/>
      <c r="N36" s="201"/>
      <c r="O36" s="159"/>
      <c r="P36" s="159"/>
      <c r="Q36" s="159"/>
      <c r="R36" s="159"/>
      <c r="S36" s="159"/>
      <c r="T36" s="159"/>
      <c r="U36" s="159"/>
      <c r="V36" s="202"/>
      <c r="W36" s="202"/>
      <c r="X36" s="203"/>
      <c r="Y36" s="159"/>
      <c r="Z36" s="159"/>
      <c r="AA36" s="159"/>
      <c r="AB36" s="159"/>
      <c r="AC36" s="159"/>
      <c r="AD36" s="159"/>
      <c r="AE36" s="159"/>
      <c r="AF36" s="159"/>
      <c r="AG36" s="159"/>
      <c r="AH36" s="204"/>
      <c r="AM36" s="204"/>
      <c r="AN36" s="76"/>
      <c r="AO36" s="76"/>
      <c r="AP36" s="76"/>
      <c r="AQ36" s="76"/>
    </row>
    <row r="37" spans="1:43" s="205" customFormat="1" ht="15.6" x14ac:dyDescent="0.25">
      <c r="A37" s="206" t="s">
        <v>96</v>
      </c>
      <c r="B37" s="206"/>
      <c r="C37" s="160"/>
      <c r="D37" s="160"/>
      <c r="E37" s="160"/>
      <c r="F37" s="160"/>
      <c r="G37" s="160"/>
      <c r="H37" s="160"/>
      <c r="I37" s="160"/>
      <c r="J37" s="160"/>
      <c r="K37" s="160"/>
      <c r="L37" s="207"/>
      <c r="M37" s="207"/>
      <c r="N37" s="208"/>
      <c r="O37" s="207"/>
      <c r="P37" s="207"/>
      <c r="Q37" s="207"/>
      <c r="R37" s="207"/>
      <c r="S37" s="207"/>
      <c r="T37" s="207"/>
      <c r="U37" s="207"/>
      <c r="V37" s="207"/>
      <c r="W37" s="207"/>
      <c r="X37" s="207"/>
      <c r="Y37" s="207"/>
      <c r="Z37" s="207"/>
      <c r="AA37" s="207"/>
      <c r="AB37" s="207"/>
      <c r="AC37" s="207"/>
      <c r="AD37" s="207"/>
      <c r="AE37" s="207"/>
      <c r="AF37" s="207"/>
      <c r="AG37" s="207"/>
      <c r="AH37" s="204"/>
      <c r="AM37" s="204"/>
      <c r="AN37" s="76"/>
      <c r="AO37" s="76"/>
      <c r="AP37" s="76"/>
      <c r="AQ37" s="76"/>
    </row>
    <row r="38" spans="1:43" s="205" customFormat="1" ht="15.6" x14ac:dyDescent="0.25">
      <c r="A38" s="206" t="s">
        <v>139</v>
      </c>
      <c r="B38" s="209"/>
      <c r="C38" s="210"/>
      <c r="D38" s="210"/>
      <c r="E38" s="161"/>
      <c r="F38" s="161"/>
      <c r="G38" s="161"/>
      <c r="H38" s="161"/>
      <c r="I38" s="161"/>
      <c r="J38" s="161"/>
      <c r="K38" s="161"/>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4"/>
      <c r="AM38" s="204"/>
      <c r="AN38" s="76"/>
      <c r="AO38" s="76"/>
      <c r="AP38" s="76"/>
      <c r="AQ38" s="76"/>
    </row>
    <row r="39" spans="1:43" ht="21" x14ac:dyDescent="0.25">
      <c r="AN39" s="88"/>
      <c r="AO39" s="88"/>
      <c r="AP39" s="88"/>
      <c r="AQ39" s="88"/>
    </row>
    <row r="40" spans="1:43" x14ac:dyDescent="0.25">
      <c r="E40" s="51"/>
      <c r="F40" s="51"/>
    </row>
    <row r="41" spans="1:43" x14ac:dyDescent="0.25">
      <c r="E41" s="51"/>
      <c r="F41" s="51"/>
    </row>
    <row r="42" spans="1:43" x14ac:dyDescent="0.25">
      <c r="E42" s="51"/>
      <c r="F42" s="51"/>
    </row>
    <row r="43" spans="1:43" x14ac:dyDescent="0.25">
      <c r="E43" s="51"/>
      <c r="F43" s="51"/>
    </row>
    <row r="44" spans="1:43" x14ac:dyDescent="0.25">
      <c r="E44" s="51"/>
      <c r="F44" s="51"/>
    </row>
    <row r="45" spans="1:43" x14ac:dyDescent="0.25">
      <c r="E45" s="51"/>
      <c r="F45" s="51"/>
    </row>
    <row r="46" spans="1:43" x14ac:dyDescent="0.25">
      <c r="E46" s="51"/>
      <c r="F46" s="51"/>
    </row>
    <row r="47" spans="1:43" x14ac:dyDescent="0.25">
      <c r="E47" s="51"/>
      <c r="F47" s="51"/>
    </row>
    <row r="48" spans="1:43" x14ac:dyDescent="0.25">
      <c r="E48" s="51"/>
      <c r="F48" s="51"/>
    </row>
    <row r="49" spans="5:6" x14ac:dyDescent="0.25">
      <c r="E49" s="51"/>
      <c r="F49" s="51"/>
    </row>
    <row r="50" spans="5:6" x14ac:dyDescent="0.25">
      <c r="E50" s="51"/>
      <c r="F50" s="51"/>
    </row>
    <row r="51" spans="5:6" x14ac:dyDescent="0.25">
      <c r="E51" s="51"/>
      <c r="F51" s="51"/>
    </row>
    <row r="52" spans="5:6" x14ac:dyDescent="0.25">
      <c r="E52" s="51"/>
      <c r="F52" s="51"/>
    </row>
    <row r="53" spans="5:6" x14ac:dyDescent="0.25">
      <c r="E53" s="51"/>
    </row>
    <row r="54" spans="5:6" x14ac:dyDescent="0.25">
      <c r="E54" s="51"/>
    </row>
    <row r="55" spans="5:6" x14ac:dyDescent="0.25">
      <c r="E55" s="51"/>
    </row>
    <row r="56" spans="5:6" x14ac:dyDescent="0.25">
      <c r="E56" s="51"/>
    </row>
    <row r="57" spans="5:6" x14ac:dyDescent="0.25">
      <c r="E57" s="51"/>
    </row>
  </sheetData>
  <autoFilter ref="A8:AS24"/>
  <mergeCells count="38">
    <mergeCell ref="AD6:AF6"/>
    <mergeCell ref="Q6:Q7"/>
    <mergeCell ref="G26:H26"/>
    <mergeCell ref="I26:J26"/>
    <mergeCell ref="K26:L26"/>
    <mergeCell ref="M26:N26"/>
    <mergeCell ref="U9:U22"/>
    <mergeCell ref="A23:B23"/>
    <mergeCell ref="S6:S7"/>
    <mergeCell ref="T6:T7"/>
    <mergeCell ref="U6:U7"/>
    <mergeCell ref="F6:F7"/>
    <mergeCell ref="G6:G7"/>
    <mergeCell ref="H6:H7"/>
    <mergeCell ref="I6:I7"/>
    <mergeCell ref="J6:J7"/>
    <mergeCell ref="L6:L7"/>
    <mergeCell ref="M6:M7"/>
    <mergeCell ref="N6:O6"/>
    <mergeCell ref="P6:P7"/>
    <mergeCell ref="R6:R7"/>
    <mergeCell ref="K6:K7"/>
    <mergeCell ref="AE1:AH1"/>
    <mergeCell ref="A2:AH2"/>
    <mergeCell ref="A3:AH3"/>
    <mergeCell ref="A5:A7"/>
    <mergeCell ref="B5:B7"/>
    <mergeCell ref="C5:C7"/>
    <mergeCell ref="D5:W5"/>
    <mergeCell ref="X5:AH5"/>
    <mergeCell ref="D6:D7"/>
    <mergeCell ref="E6:E7"/>
    <mergeCell ref="AA6:AC6"/>
    <mergeCell ref="AG6:AG7"/>
    <mergeCell ref="AH6:AH7"/>
    <mergeCell ref="V6:V7"/>
    <mergeCell ref="W6:W7"/>
    <mergeCell ref="X6:Z6"/>
  </mergeCells>
  <printOptions horizontalCentered="1"/>
  <pageMargins left="0" right="0" top="0" bottom="0" header="0.31496062992125984" footer="0.31496062992125984"/>
  <pageSetup paperSize="9" scale="35" orientation="landscape"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S105"/>
  <sheetViews>
    <sheetView view="pageBreakPreview" zoomScale="80" zoomScaleNormal="80" zoomScaleSheetLayoutView="80" workbookViewId="0">
      <pane xSplit="3" ySplit="8" topLeftCell="D45"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7.77734375" style="33" customWidth="1"/>
    <col min="2" max="2" width="30.77734375" style="22" customWidth="1"/>
    <col min="3" max="3" width="13.77734375" style="22" customWidth="1"/>
    <col min="4" max="4" width="14" style="22" customWidth="1"/>
    <col min="5" max="5" width="13" style="22" customWidth="1"/>
    <col min="6" max="6" width="14.6640625" style="22" customWidth="1"/>
    <col min="7" max="7" width="12.77734375" style="22" customWidth="1"/>
    <col min="8" max="8" width="15.77734375" style="22" customWidth="1"/>
    <col min="9" max="9" width="13.44140625" style="22" customWidth="1"/>
    <col min="10" max="10" width="16.77734375" style="22" customWidth="1"/>
    <col min="11" max="11" width="13.44140625" style="22" customWidth="1"/>
    <col min="12" max="12" width="13.33203125" style="22" customWidth="1"/>
    <col min="13" max="13" width="14" style="22" customWidth="1"/>
    <col min="14" max="14" width="11.44140625" style="22" customWidth="1"/>
    <col min="15" max="15" width="11.6640625" style="22" customWidth="1"/>
    <col min="16" max="16" width="13.33203125" style="22" customWidth="1"/>
    <col min="17" max="17" width="11.44140625" style="22" customWidth="1"/>
    <col min="18" max="18" width="13" style="22" customWidth="1"/>
    <col min="19" max="19" width="15.44140625" style="22" customWidth="1"/>
    <col min="20" max="20" width="12.33203125" style="22" customWidth="1"/>
    <col min="21" max="21" width="11.6640625" style="22" customWidth="1"/>
    <col min="22" max="22" width="14.44140625" style="22" customWidth="1"/>
    <col min="23" max="23" width="16" style="22" customWidth="1"/>
    <col min="24" max="24" width="14.109375" style="22" customWidth="1"/>
    <col min="25" max="25" width="11.109375" style="22" customWidth="1"/>
    <col min="26" max="26" width="9.77734375" style="22" customWidth="1"/>
    <col min="27" max="30" width="8.44140625" style="22" customWidth="1"/>
    <col min="31" max="31" width="15.109375" style="22" bestFit="1" customWidth="1"/>
    <col min="32" max="32" width="9.6640625" style="22" customWidth="1"/>
    <col min="33" max="33" width="9.33203125" style="22" customWidth="1"/>
    <col min="34" max="34" width="13.44140625" style="22" customWidth="1"/>
    <col min="35" max="35" width="14.44140625" style="34" customWidth="1"/>
    <col min="36" max="36" width="9.33203125" style="22"/>
    <col min="37" max="37" width="12.6640625" style="211" customWidth="1"/>
    <col min="38" max="38" width="11.6640625" style="211" hidden="1" customWidth="1"/>
    <col min="39" max="39" width="13" style="211" hidden="1" customWidth="1"/>
    <col min="40" max="40" width="14.109375" style="211" bestFit="1" customWidth="1"/>
    <col min="41" max="41" width="9.44140625" style="211" bestFit="1" customWidth="1"/>
    <col min="42" max="43" width="14.109375" style="211" bestFit="1" customWidth="1"/>
    <col min="44" max="45" width="9.44140625" style="22" bestFit="1" customWidth="1"/>
    <col min="46" max="16384" width="9.33203125" style="22"/>
  </cols>
  <sheetData>
    <row r="1" spans="1:45" ht="18" customHeight="1" x14ac:dyDescent="0.25">
      <c r="AE1" s="1534"/>
      <c r="AF1" s="1534"/>
      <c r="AG1" s="1534"/>
      <c r="AH1" s="1534"/>
    </row>
    <row r="2" spans="1:45" ht="24" customHeight="1" x14ac:dyDescent="0.25">
      <c r="A2" s="1535" t="s">
        <v>160</v>
      </c>
      <c r="B2" s="1535"/>
      <c r="C2" s="1535"/>
      <c r="D2" s="1535"/>
      <c r="E2" s="1535"/>
      <c r="F2" s="1535"/>
      <c r="G2" s="1535"/>
      <c r="H2" s="1535"/>
      <c r="I2" s="1535"/>
      <c r="J2" s="1535"/>
      <c r="K2" s="1535"/>
      <c r="L2" s="1535"/>
      <c r="M2" s="1535"/>
      <c r="N2" s="1535"/>
      <c r="O2" s="1535"/>
      <c r="P2" s="1535"/>
      <c r="Q2" s="1535"/>
      <c r="R2" s="1535"/>
      <c r="S2" s="1535"/>
      <c r="T2" s="1535"/>
      <c r="U2" s="1535"/>
      <c r="V2" s="1535"/>
      <c r="W2" s="1535"/>
      <c r="X2" s="1535"/>
      <c r="Y2" s="1535"/>
      <c r="Z2" s="1535"/>
      <c r="AA2" s="1535"/>
      <c r="AB2" s="1535"/>
      <c r="AC2" s="1535"/>
      <c r="AD2" s="1535"/>
      <c r="AE2" s="1535"/>
      <c r="AF2" s="1535"/>
      <c r="AG2" s="1535"/>
      <c r="AH2" s="1535"/>
      <c r="AI2" s="36"/>
    </row>
    <row r="3" spans="1:45" ht="24.75" customHeight="1" x14ac:dyDescent="0.25">
      <c r="A3" s="1536"/>
      <c r="B3" s="1536"/>
      <c r="C3" s="1536"/>
      <c r="D3" s="1536"/>
      <c r="E3" s="1536"/>
      <c r="F3" s="1536"/>
      <c r="G3" s="1536"/>
      <c r="H3" s="1536"/>
      <c r="I3" s="1536"/>
      <c r="J3" s="1536"/>
      <c r="K3" s="1536"/>
      <c r="L3" s="1536"/>
      <c r="M3" s="1536"/>
      <c r="N3" s="1536"/>
      <c r="O3" s="1536"/>
      <c r="P3" s="1536"/>
      <c r="Q3" s="1536"/>
      <c r="R3" s="1536"/>
      <c r="S3" s="1536"/>
      <c r="T3" s="1536"/>
      <c r="U3" s="1536"/>
      <c r="V3" s="1536"/>
      <c r="W3" s="1536"/>
      <c r="X3" s="1536"/>
      <c r="Y3" s="1536"/>
      <c r="Z3" s="1536"/>
      <c r="AA3" s="1536"/>
      <c r="AB3" s="1536"/>
      <c r="AC3" s="1536"/>
      <c r="AD3" s="1536"/>
      <c r="AE3" s="1536"/>
      <c r="AF3" s="1536"/>
      <c r="AG3" s="1536"/>
      <c r="AH3" s="1536"/>
      <c r="AI3" s="283"/>
    </row>
    <row r="4" spans="1:45" x14ac:dyDescent="0.25">
      <c r="L4" s="38">
        <v>0.33837499999999998</v>
      </c>
      <c r="V4" s="39"/>
      <c r="W4" s="39"/>
    </row>
    <row r="5" spans="1:45" ht="38.25" customHeight="1" x14ac:dyDescent="0.25">
      <c r="A5" s="1537" t="s">
        <v>78</v>
      </c>
      <c r="B5" s="1537" t="s">
        <v>77</v>
      </c>
      <c r="C5" s="1538" t="s">
        <v>0</v>
      </c>
      <c r="D5" s="1538" t="s">
        <v>3</v>
      </c>
      <c r="E5" s="1538"/>
      <c r="F5" s="1538"/>
      <c r="G5" s="1538"/>
      <c r="H5" s="1538"/>
      <c r="I5" s="1538"/>
      <c r="J5" s="1538"/>
      <c r="K5" s="1538"/>
      <c r="L5" s="1538"/>
      <c r="M5" s="1538"/>
      <c r="N5" s="1538"/>
      <c r="O5" s="1538"/>
      <c r="P5" s="1538"/>
      <c r="Q5" s="1538"/>
      <c r="R5" s="1538"/>
      <c r="S5" s="1538"/>
      <c r="T5" s="1538"/>
      <c r="U5" s="1538"/>
      <c r="V5" s="1538"/>
      <c r="W5" s="1538"/>
      <c r="X5" s="1538" t="s">
        <v>4</v>
      </c>
      <c r="Y5" s="1538"/>
      <c r="Z5" s="1538"/>
      <c r="AA5" s="1538"/>
      <c r="AB5" s="1538"/>
      <c r="AC5" s="1538"/>
      <c r="AD5" s="1538"/>
      <c r="AE5" s="1538"/>
      <c r="AF5" s="1538"/>
      <c r="AG5" s="1538"/>
      <c r="AH5" s="1538"/>
    </row>
    <row r="6" spans="1:45" ht="60" customHeight="1" x14ac:dyDescent="0.25">
      <c r="A6" s="1537"/>
      <c r="B6" s="1537"/>
      <c r="C6" s="1538"/>
      <c r="D6" s="1530" t="s">
        <v>68</v>
      </c>
      <c r="E6" s="1530" t="s">
        <v>69</v>
      </c>
      <c r="F6" s="1530" t="s">
        <v>89</v>
      </c>
      <c r="G6" s="1530" t="s">
        <v>1</v>
      </c>
      <c r="H6" s="1530" t="s">
        <v>2</v>
      </c>
      <c r="I6" s="1530" t="s">
        <v>70</v>
      </c>
      <c r="J6" s="1530" t="s">
        <v>61</v>
      </c>
      <c r="K6" s="1530" t="s">
        <v>27</v>
      </c>
      <c r="L6" s="1533" t="s">
        <v>65</v>
      </c>
      <c r="M6" s="1533" t="s">
        <v>93</v>
      </c>
      <c r="N6" s="1539" t="s">
        <v>91</v>
      </c>
      <c r="O6" s="1539"/>
      <c r="P6" s="1539" t="s">
        <v>88</v>
      </c>
      <c r="Q6" s="1533" t="s">
        <v>82</v>
      </c>
      <c r="R6" s="1530" t="s">
        <v>83</v>
      </c>
      <c r="S6" s="1533" t="s">
        <v>87</v>
      </c>
      <c r="T6" s="1530" t="s">
        <v>84</v>
      </c>
      <c r="U6" s="1530" t="s">
        <v>9</v>
      </c>
      <c r="V6" s="1530" t="s">
        <v>7</v>
      </c>
      <c r="W6" s="1530" t="s">
        <v>85</v>
      </c>
      <c r="X6" s="1538" t="s">
        <v>10</v>
      </c>
      <c r="Y6" s="1538"/>
      <c r="Z6" s="1538"/>
      <c r="AA6" s="1538" t="s">
        <v>11</v>
      </c>
      <c r="AB6" s="1538"/>
      <c r="AC6" s="1538"/>
      <c r="AD6" s="1538" t="s">
        <v>12</v>
      </c>
      <c r="AE6" s="1538"/>
      <c r="AF6" s="1538"/>
      <c r="AG6" s="1538" t="s">
        <v>13</v>
      </c>
      <c r="AH6" s="1538" t="s">
        <v>73</v>
      </c>
    </row>
    <row r="7" spans="1:45" ht="97.5" customHeight="1" x14ac:dyDescent="0.25">
      <c r="A7" s="1537"/>
      <c r="B7" s="1537"/>
      <c r="C7" s="1538"/>
      <c r="D7" s="1530"/>
      <c r="E7" s="1530"/>
      <c r="F7" s="1530"/>
      <c r="G7" s="1530"/>
      <c r="H7" s="1530"/>
      <c r="I7" s="1530"/>
      <c r="J7" s="1530"/>
      <c r="K7" s="1530"/>
      <c r="L7" s="1533" t="s">
        <v>66</v>
      </c>
      <c r="M7" s="1533"/>
      <c r="N7" s="281" t="s">
        <v>80</v>
      </c>
      <c r="O7" s="281" t="s">
        <v>81</v>
      </c>
      <c r="P7" s="1539"/>
      <c r="Q7" s="1533"/>
      <c r="R7" s="1530"/>
      <c r="S7" s="1533" t="s">
        <v>67</v>
      </c>
      <c r="T7" s="1530"/>
      <c r="U7" s="1530"/>
      <c r="V7" s="1530"/>
      <c r="W7" s="1530"/>
      <c r="X7" s="280" t="s">
        <v>5</v>
      </c>
      <c r="Y7" s="280" t="s">
        <v>6</v>
      </c>
      <c r="Z7" s="280" t="s">
        <v>74</v>
      </c>
      <c r="AA7" s="280" t="s">
        <v>5</v>
      </c>
      <c r="AB7" s="280" t="s">
        <v>6</v>
      </c>
      <c r="AC7" s="280" t="s">
        <v>75</v>
      </c>
      <c r="AD7" s="280" t="s">
        <v>5</v>
      </c>
      <c r="AE7" s="280" t="s">
        <v>6</v>
      </c>
      <c r="AF7" s="280" t="s">
        <v>76</v>
      </c>
      <c r="AG7" s="1538"/>
      <c r="AH7" s="1538"/>
      <c r="AK7" s="211" t="s">
        <v>64</v>
      </c>
      <c r="AL7" s="211" t="s">
        <v>62</v>
      </c>
      <c r="AM7" s="70" t="s">
        <v>71</v>
      </c>
    </row>
    <row r="8" spans="1:45" x14ac:dyDescent="0.25">
      <c r="A8" s="278">
        <v>1</v>
      </c>
      <c r="B8" s="278">
        <v>2</v>
      </c>
      <c r="C8" s="278">
        <v>3</v>
      </c>
      <c r="D8" s="278">
        <v>4</v>
      </c>
      <c r="E8" s="278">
        <v>5</v>
      </c>
      <c r="F8" s="278">
        <v>6</v>
      </c>
      <c r="G8" s="278">
        <v>7</v>
      </c>
      <c r="H8" s="278">
        <v>8</v>
      </c>
      <c r="I8" s="278">
        <v>9</v>
      </c>
      <c r="J8" s="278">
        <v>10</v>
      </c>
      <c r="K8" s="278">
        <v>11</v>
      </c>
      <c r="L8" s="278">
        <v>12</v>
      </c>
      <c r="M8" s="278">
        <v>13</v>
      </c>
      <c r="N8" s="278">
        <v>14</v>
      </c>
      <c r="O8" s="278">
        <v>15</v>
      </c>
      <c r="P8" s="278">
        <v>16</v>
      </c>
      <c r="Q8" s="278">
        <v>17</v>
      </c>
      <c r="R8" s="278">
        <v>18</v>
      </c>
      <c r="S8" s="278">
        <v>19</v>
      </c>
      <c r="T8" s="278">
        <v>20</v>
      </c>
      <c r="U8" s="278">
        <v>21</v>
      </c>
      <c r="V8" s="278">
        <v>22</v>
      </c>
      <c r="W8" s="278">
        <v>23</v>
      </c>
      <c r="X8" s="278">
        <v>24</v>
      </c>
      <c r="Y8" s="278">
        <v>25</v>
      </c>
      <c r="Z8" s="278">
        <v>26</v>
      </c>
      <c r="AA8" s="278">
        <v>27</v>
      </c>
      <c r="AB8" s="278">
        <v>28</v>
      </c>
      <c r="AC8" s="278">
        <v>29</v>
      </c>
      <c r="AD8" s="278">
        <v>30</v>
      </c>
      <c r="AE8" s="278">
        <v>31</v>
      </c>
      <c r="AF8" s="278">
        <v>32</v>
      </c>
      <c r="AG8" s="278">
        <v>33</v>
      </c>
      <c r="AH8" s="278">
        <v>34</v>
      </c>
      <c r="AN8" s="212" t="s">
        <v>116</v>
      </c>
      <c r="AO8" s="212" t="s">
        <v>117</v>
      </c>
      <c r="AP8" s="212" t="s">
        <v>118</v>
      </c>
      <c r="AQ8" s="212" t="s">
        <v>119</v>
      </c>
    </row>
    <row r="9" spans="1:45" ht="16.5" customHeight="1" x14ac:dyDescent="0.25">
      <c r="A9" s="278">
        <v>1</v>
      </c>
      <c r="B9" s="44" t="s">
        <v>14</v>
      </c>
      <c r="C9" s="278">
        <v>1</v>
      </c>
      <c r="D9" s="213">
        <v>25.596</v>
      </c>
      <c r="E9" s="214">
        <f>C9*D9</f>
        <v>25.6</v>
      </c>
      <c r="F9" s="215">
        <f>E9*12</f>
        <v>307.2</v>
      </c>
      <c r="G9" s="154"/>
      <c r="H9" s="154"/>
      <c r="I9" s="154"/>
      <c r="J9" s="154"/>
      <c r="K9" s="154">
        <f>F9*0.4</f>
        <v>122.9</v>
      </c>
      <c r="L9" s="154">
        <f>F9*$L$4</f>
        <v>103.9</v>
      </c>
      <c r="M9" s="154">
        <f>F9+G9+H9+I9+J9+K9+L9</f>
        <v>534</v>
      </c>
      <c r="N9" s="171">
        <v>0.98</v>
      </c>
      <c r="O9" s="154">
        <f>M9*N9</f>
        <v>523.29999999999995</v>
      </c>
      <c r="P9" s="154">
        <f>M9+O9</f>
        <v>1057.3</v>
      </c>
      <c r="Q9" s="154">
        <f>P9*0.8</f>
        <v>845.8</v>
      </c>
      <c r="R9" s="154">
        <f>P9*0.8</f>
        <v>845.8</v>
      </c>
      <c r="S9" s="154">
        <f>(P9+Q9+R9)*0.032</f>
        <v>88</v>
      </c>
      <c r="T9" s="154">
        <f>P9+Q9+R9+S9</f>
        <v>2836.9</v>
      </c>
      <c r="U9" s="1531">
        <v>1</v>
      </c>
      <c r="V9" s="154">
        <f>T9*$U$9</f>
        <v>2836.9</v>
      </c>
      <c r="W9" s="154">
        <f>AQ9</f>
        <v>597.20000000000005</v>
      </c>
      <c r="X9" s="278">
        <v>1</v>
      </c>
      <c r="Y9" s="24">
        <v>30</v>
      </c>
      <c r="Z9" s="48">
        <f>X9*Y9</f>
        <v>30</v>
      </c>
      <c r="AA9" s="278"/>
      <c r="AB9" s="24">
        <v>15</v>
      </c>
      <c r="AC9" s="48">
        <f>AA9*AB9</f>
        <v>0</v>
      </c>
      <c r="AD9" s="278"/>
      <c r="AE9" s="24">
        <v>30</v>
      </c>
      <c r="AF9" s="48">
        <f>AD9*AE9</f>
        <v>0</v>
      </c>
      <c r="AG9" s="278">
        <f t="shared" ref="AG9:AG51" si="0">(Z9+AC9+AF9)*1%*30</f>
        <v>9</v>
      </c>
      <c r="AH9" s="48">
        <f t="shared" ref="AH9:AH27" si="1">Z9+AC9+AF9+AG9</f>
        <v>39</v>
      </c>
      <c r="AI9" s="34">
        <f t="shared" ref="AI9:AI36" si="2">V9/12/C9*1000</f>
        <v>236408.3</v>
      </c>
      <c r="AJ9" s="34"/>
      <c r="AK9" s="216">
        <f t="shared" ref="AK9:AK41" si="3">V9/C9</f>
        <v>2836.9</v>
      </c>
      <c r="AL9" s="216">
        <f>((979*0.302)+((AK9-979)*0.182))</f>
        <v>633.79999999999995</v>
      </c>
      <c r="AM9" s="217">
        <f>AL9/AK9</f>
        <v>0.223</v>
      </c>
      <c r="AN9" s="50">
        <f>1150*0.22*C9+(V9-1150*C9)*0.1</f>
        <v>421.7</v>
      </c>
      <c r="AO9" s="50">
        <f>865*0.029</f>
        <v>25.1</v>
      </c>
      <c r="AP9" s="50">
        <f>V9*0.053</f>
        <v>150.4</v>
      </c>
      <c r="AQ9" s="50">
        <f>SUM(AN9:AP9)</f>
        <v>597.20000000000005</v>
      </c>
      <c r="AS9" s="66"/>
    </row>
    <row r="10" spans="1:45" x14ac:dyDescent="0.25">
      <c r="A10" s="278">
        <v>2</v>
      </c>
      <c r="B10" s="44" t="s">
        <v>125</v>
      </c>
      <c r="C10" s="278">
        <v>1</v>
      </c>
      <c r="D10" s="177">
        <v>17.917000000000002</v>
      </c>
      <c r="E10" s="214">
        <f>C10*D10</f>
        <v>17.920000000000002</v>
      </c>
      <c r="F10" s="215">
        <f>E10*12</f>
        <v>215</v>
      </c>
      <c r="G10" s="154"/>
      <c r="H10" s="154">
        <v>8.6999999999999993</v>
      </c>
      <c r="I10" s="154"/>
      <c r="J10" s="154"/>
      <c r="K10" s="154">
        <f>F10*0.4</f>
        <v>86</v>
      </c>
      <c r="L10" s="154">
        <f t="shared" ref="L10:L51" si="4">F10*$L$4</f>
        <v>72.8</v>
      </c>
      <c r="M10" s="154">
        <f>F10+G10+H10+I10+J10+K10+L10</f>
        <v>382.5</v>
      </c>
      <c r="N10" s="171">
        <v>0.47</v>
      </c>
      <c r="O10" s="154">
        <f>M10*N10</f>
        <v>179.8</v>
      </c>
      <c r="P10" s="154">
        <f>M10+O10</f>
        <v>562.29999999999995</v>
      </c>
      <c r="Q10" s="154">
        <f>P10*0.8</f>
        <v>449.8</v>
      </c>
      <c r="R10" s="154">
        <f>P10*0.8</f>
        <v>449.8</v>
      </c>
      <c r="S10" s="154">
        <f>(P10+Q10+R10)*0.032</f>
        <v>46.8</v>
      </c>
      <c r="T10" s="154">
        <f>P10+Q10+R10+S10</f>
        <v>1508.7</v>
      </c>
      <c r="U10" s="1532"/>
      <c r="V10" s="154">
        <f t="shared" ref="V10:V50" si="5">T10*$U$9</f>
        <v>1508.7</v>
      </c>
      <c r="W10" s="154">
        <f>AQ10</f>
        <v>394</v>
      </c>
      <c r="X10" s="278"/>
      <c r="Y10" s="24">
        <v>30</v>
      </c>
      <c r="Z10" s="48">
        <f>X10*Y10</f>
        <v>0</v>
      </c>
      <c r="AA10" s="278"/>
      <c r="AB10" s="24">
        <v>15</v>
      </c>
      <c r="AC10" s="48">
        <f>AA10*AB10</f>
        <v>0</v>
      </c>
      <c r="AD10" s="278"/>
      <c r="AE10" s="24">
        <v>30</v>
      </c>
      <c r="AF10" s="48">
        <f>AD10*AE10</f>
        <v>0</v>
      </c>
      <c r="AG10" s="278">
        <f t="shared" si="0"/>
        <v>0</v>
      </c>
      <c r="AH10" s="48">
        <f t="shared" si="1"/>
        <v>0</v>
      </c>
      <c r="AI10" s="34">
        <f t="shared" si="2"/>
        <v>125725</v>
      </c>
      <c r="AJ10" s="34"/>
      <c r="AK10" s="216">
        <f t="shared" si="3"/>
        <v>1508.7</v>
      </c>
      <c r="AL10" s="216">
        <f t="shared" ref="AL10:AL41" si="6">((979*0.302)+((AK10-979)*0.182))</f>
        <v>392.1</v>
      </c>
      <c r="AM10" s="217">
        <f>AL10/AK10</f>
        <v>0.26</v>
      </c>
      <c r="AN10" s="50">
        <f>1150*0.22*C10+(V10-1150*C10)*0.1</f>
        <v>288.89999999999998</v>
      </c>
      <c r="AO10" s="50">
        <f>865*0.029</f>
        <v>25.1</v>
      </c>
      <c r="AP10" s="50">
        <f>V10*0.053</f>
        <v>80</v>
      </c>
      <c r="AQ10" s="50">
        <f t="shared" ref="AQ10:AQ52" si="7">SUM(AN10:AP10)</f>
        <v>394</v>
      </c>
      <c r="AS10" s="66"/>
    </row>
    <row r="11" spans="1:45" x14ac:dyDescent="0.25">
      <c r="A11" s="278">
        <v>3</v>
      </c>
      <c r="B11" s="44" t="s">
        <v>125</v>
      </c>
      <c r="C11" s="278">
        <v>1</v>
      </c>
      <c r="D11" s="177">
        <v>17.917000000000002</v>
      </c>
      <c r="E11" s="214">
        <f>C11*D11</f>
        <v>17.920000000000002</v>
      </c>
      <c r="F11" s="215">
        <f>E11*12</f>
        <v>215</v>
      </c>
      <c r="G11" s="154"/>
      <c r="H11" s="154">
        <v>7.9</v>
      </c>
      <c r="I11" s="154"/>
      <c r="J11" s="154"/>
      <c r="K11" s="154">
        <f>F11*0.25</f>
        <v>53.8</v>
      </c>
      <c r="L11" s="154">
        <f t="shared" si="4"/>
        <v>72.8</v>
      </c>
      <c r="M11" s="154">
        <f>F11+G11+H11+I11+J11+K11+L11</f>
        <v>349.5</v>
      </c>
      <c r="N11" s="171">
        <v>0.47</v>
      </c>
      <c r="O11" s="154">
        <f>M11*N11</f>
        <v>164.3</v>
      </c>
      <c r="P11" s="154">
        <f>M11+O11</f>
        <v>513.79999999999995</v>
      </c>
      <c r="Q11" s="154">
        <f>P11*0.8</f>
        <v>411</v>
      </c>
      <c r="R11" s="154">
        <f>P11*0.8</f>
        <v>411</v>
      </c>
      <c r="S11" s="154">
        <f>(P11+Q11+R11)*0.032</f>
        <v>42.7</v>
      </c>
      <c r="T11" s="154">
        <f>P11+Q11+R11+S11</f>
        <v>1378.5</v>
      </c>
      <c r="U11" s="1532"/>
      <c r="V11" s="154">
        <f t="shared" si="5"/>
        <v>1378.5</v>
      </c>
      <c r="W11" s="154">
        <f>AQ11</f>
        <v>374.1</v>
      </c>
      <c r="X11" s="278">
        <v>1</v>
      </c>
      <c r="Y11" s="24">
        <v>30</v>
      </c>
      <c r="Z11" s="48">
        <f>X11*Y11</f>
        <v>30</v>
      </c>
      <c r="AA11" s="278"/>
      <c r="AB11" s="24">
        <v>15</v>
      </c>
      <c r="AC11" s="48">
        <f>AA11*AB11</f>
        <v>0</v>
      </c>
      <c r="AD11" s="278"/>
      <c r="AE11" s="24">
        <v>30</v>
      </c>
      <c r="AF11" s="48">
        <f>AD11*AE11</f>
        <v>0</v>
      </c>
      <c r="AG11" s="278">
        <f t="shared" si="0"/>
        <v>9</v>
      </c>
      <c r="AH11" s="48">
        <f t="shared" si="1"/>
        <v>39</v>
      </c>
      <c r="AI11" s="34">
        <f t="shared" si="2"/>
        <v>114875</v>
      </c>
      <c r="AJ11" s="34"/>
      <c r="AK11" s="216">
        <f t="shared" si="3"/>
        <v>1378.5</v>
      </c>
      <c r="AL11" s="216">
        <f t="shared" si="6"/>
        <v>368.4</v>
      </c>
      <c r="AM11" s="217">
        <f>AL11/AK11</f>
        <v>0.26700000000000002</v>
      </c>
      <c r="AN11" s="50">
        <f>1150*0.22*C11+(V11-1150*C11)*0.1</f>
        <v>275.89999999999998</v>
      </c>
      <c r="AO11" s="50">
        <f>865*0.029</f>
        <v>25.1</v>
      </c>
      <c r="AP11" s="50">
        <f>V11*0.053</f>
        <v>73.099999999999994</v>
      </c>
      <c r="AQ11" s="50">
        <f t="shared" si="7"/>
        <v>374.1</v>
      </c>
      <c r="AS11" s="66"/>
    </row>
    <row r="12" spans="1:45" x14ac:dyDescent="0.25">
      <c r="A12" s="278">
        <v>4</v>
      </c>
      <c r="B12" s="44" t="s">
        <v>125</v>
      </c>
      <c r="C12" s="278">
        <v>1</v>
      </c>
      <c r="D12" s="177">
        <v>17.917000000000002</v>
      </c>
      <c r="E12" s="214">
        <f>C12*D12</f>
        <v>17.920000000000002</v>
      </c>
      <c r="F12" s="215">
        <f>E12*12</f>
        <v>215</v>
      </c>
      <c r="G12" s="154"/>
      <c r="H12" s="154"/>
      <c r="I12" s="154"/>
      <c r="J12" s="154"/>
      <c r="K12" s="154"/>
      <c r="L12" s="154">
        <f t="shared" si="4"/>
        <v>72.8</v>
      </c>
      <c r="M12" s="154">
        <f>F12+G12+H12+I12+J12+K12+L12</f>
        <v>287.8</v>
      </c>
      <c r="N12" s="171">
        <v>0.47</v>
      </c>
      <c r="O12" s="154">
        <f>M12*N12</f>
        <v>135.30000000000001</v>
      </c>
      <c r="P12" s="154">
        <f>M12+O12</f>
        <v>423.1</v>
      </c>
      <c r="Q12" s="154">
        <f>P12*0.8</f>
        <v>338.5</v>
      </c>
      <c r="R12" s="154">
        <f>P12*0.8</f>
        <v>338.5</v>
      </c>
      <c r="S12" s="154">
        <f>(P12+Q12+R12)*0.032</f>
        <v>35.200000000000003</v>
      </c>
      <c r="T12" s="154">
        <f>P12+Q12+R12+S12</f>
        <v>1135.3</v>
      </c>
      <c r="U12" s="1532"/>
      <c r="V12" s="154">
        <f t="shared" si="5"/>
        <v>1135.3</v>
      </c>
      <c r="W12" s="154">
        <f>AQ12</f>
        <v>336.8</v>
      </c>
      <c r="X12" s="278">
        <v>1</v>
      </c>
      <c r="Y12" s="24">
        <v>30</v>
      </c>
      <c r="Z12" s="48">
        <f>X12*Y12</f>
        <v>30</v>
      </c>
      <c r="AA12" s="278">
        <v>2</v>
      </c>
      <c r="AB12" s="24">
        <v>15</v>
      </c>
      <c r="AC12" s="48">
        <f>AA12*AB12</f>
        <v>30</v>
      </c>
      <c r="AD12" s="278">
        <v>1</v>
      </c>
      <c r="AE12" s="24">
        <v>30</v>
      </c>
      <c r="AF12" s="48">
        <f>AD12*AE12</f>
        <v>30</v>
      </c>
      <c r="AG12" s="278">
        <f t="shared" si="0"/>
        <v>27</v>
      </c>
      <c r="AH12" s="48">
        <f t="shared" si="1"/>
        <v>117</v>
      </c>
      <c r="AI12" s="34">
        <f t="shared" si="2"/>
        <v>94608.3</v>
      </c>
      <c r="AJ12" s="34"/>
      <c r="AK12" s="216">
        <f t="shared" si="3"/>
        <v>1135.3</v>
      </c>
      <c r="AL12" s="216">
        <f t="shared" si="6"/>
        <v>324.10000000000002</v>
      </c>
      <c r="AM12" s="217">
        <f>AL12/AK12</f>
        <v>0.28499999999999998</v>
      </c>
      <c r="AN12" s="50">
        <f>1150*0.22*C12+(V12-1150*C12)*0.1</f>
        <v>251.5</v>
      </c>
      <c r="AO12" s="50">
        <f>865*0.029</f>
        <v>25.1</v>
      </c>
      <c r="AP12" s="50">
        <f>AK12*0.053</f>
        <v>60.2</v>
      </c>
      <c r="AQ12" s="50">
        <f>SUM(AN12:AP12)*C12</f>
        <v>336.8</v>
      </c>
      <c r="AS12" s="66"/>
    </row>
    <row r="13" spans="1:45" ht="14.25" customHeight="1" x14ac:dyDescent="0.25">
      <c r="A13" s="278">
        <v>5</v>
      </c>
      <c r="B13" s="218" t="s">
        <v>16</v>
      </c>
      <c r="C13" s="278">
        <v>7</v>
      </c>
      <c r="D13" s="177">
        <v>11.061999999999999</v>
      </c>
      <c r="E13" s="171">
        <f t="shared" ref="E13:E19" si="8">C13*D13</f>
        <v>77.430000000000007</v>
      </c>
      <c r="F13" s="154">
        <f t="shared" ref="F13:F19" si="9">E13*12</f>
        <v>929.2</v>
      </c>
      <c r="G13" s="154"/>
      <c r="H13" s="154">
        <f>0.539+1.617+0.539+2.696+1.078</f>
        <v>6.5</v>
      </c>
      <c r="I13" s="154"/>
      <c r="J13" s="154"/>
      <c r="K13" s="154">
        <f>D13*0.2*12+D13*0.25*4*12+D13*0.4*2</f>
        <v>168.1</v>
      </c>
      <c r="L13" s="154">
        <f t="shared" si="4"/>
        <v>314.39999999999998</v>
      </c>
      <c r="M13" s="154">
        <f t="shared" ref="M13:M19" si="10">F13+G13+H13+I13+J13+K13+L13</f>
        <v>1418.2</v>
      </c>
      <c r="N13" s="171">
        <v>0.43</v>
      </c>
      <c r="O13" s="154">
        <f t="shared" ref="O13:O19" si="11">M13*N13</f>
        <v>609.79999999999995</v>
      </c>
      <c r="P13" s="154">
        <f t="shared" ref="P13:P19" si="12">M13+O13</f>
        <v>2028</v>
      </c>
      <c r="Q13" s="154">
        <f t="shared" ref="Q13:Q19" si="13">P13*0.8</f>
        <v>1622.4</v>
      </c>
      <c r="R13" s="154">
        <f t="shared" ref="R13:R19" si="14">P13*0.8</f>
        <v>1622.4</v>
      </c>
      <c r="S13" s="154">
        <f t="shared" ref="S13:S19" si="15">(P13+Q13+R13)*0.032</f>
        <v>168.7</v>
      </c>
      <c r="T13" s="154">
        <f t="shared" ref="T13:T19" si="16">P13+Q13+R13+S13</f>
        <v>5441.5</v>
      </c>
      <c r="U13" s="1532"/>
      <c r="V13" s="154">
        <f t="shared" si="5"/>
        <v>5441.5</v>
      </c>
      <c r="W13" s="154">
        <f>V13*0.302</f>
        <v>1643.3</v>
      </c>
      <c r="X13" s="54">
        <v>4</v>
      </c>
      <c r="Y13" s="24">
        <v>30</v>
      </c>
      <c r="Z13" s="48">
        <f t="shared" ref="Z13:Z19" si="17">X13*Y13</f>
        <v>120</v>
      </c>
      <c r="AA13" s="54">
        <v>1</v>
      </c>
      <c r="AB13" s="24">
        <v>15</v>
      </c>
      <c r="AC13" s="48">
        <f t="shared" ref="AC13:AC19" si="18">AA13*AB13</f>
        <v>15</v>
      </c>
      <c r="AD13" s="54"/>
      <c r="AE13" s="24">
        <v>30</v>
      </c>
      <c r="AF13" s="48">
        <f t="shared" ref="AF13:AF19" si="19">AD13*AE13</f>
        <v>0</v>
      </c>
      <c r="AG13" s="278">
        <f t="shared" si="0"/>
        <v>40.5</v>
      </c>
      <c r="AH13" s="48">
        <f t="shared" si="1"/>
        <v>175.5</v>
      </c>
      <c r="AI13" s="34">
        <f t="shared" si="2"/>
        <v>64779.8</v>
      </c>
      <c r="AJ13" s="34"/>
      <c r="AK13" s="216">
        <f t="shared" si="3"/>
        <v>777.4</v>
      </c>
      <c r="AL13" s="216">
        <f t="shared" si="6"/>
        <v>259</v>
      </c>
      <c r="AM13" s="217">
        <v>0.30199999999999999</v>
      </c>
      <c r="AN13" s="50"/>
      <c r="AQ13" s="50">
        <f t="shared" si="7"/>
        <v>0</v>
      </c>
      <c r="AS13" s="66"/>
    </row>
    <row r="14" spans="1:45" x14ac:dyDescent="0.25">
      <c r="A14" s="278">
        <v>6</v>
      </c>
      <c r="B14" s="218" t="s">
        <v>16</v>
      </c>
      <c r="C14" s="278">
        <v>1</v>
      </c>
      <c r="D14" s="177">
        <v>11.061999999999999</v>
      </c>
      <c r="E14" s="171">
        <f>C14*D14</f>
        <v>11.06</v>
      </c>
      <c r="F14" s="154">
        <f t="shared" si="9"/>
        <v>132.69999999999999</v>
      </c>
      <c r="G14" s="154"/>
      <c r="H14" s="34">
        <f>5.4+1.617</f>
        <v>7</v>
      </c>
      <c r="I14" s="154"/>
      <c r="J14" s="154"/>
      <c r="K14" s="154">
        <f>F14*0.4</f>
        <v>53.1</v>
      </c>
      <c r="L14" s="154">
        <f t="shared" si="4"/>
        <v>44.9</v>
      </c>
      <c r="M14" s="154">
        <f t="shared" si="10"/>
        <v>237.7</v>
      </c>
      <c r="N14" s="171">
        <v>0.43</v>
      </c>
      <c r="O14" s="154">
        <f t="shared" si="11"/>
        <v>102.2</v>
      </c>
      <c r="P14" s="154">
        <f t="shared" si="12"/>
        <v>339.9</v>
      </c>
      <c r="Q14" s="154">
        <f t="shared" si="13"/>
        <v>271.89999999999998</v>
      </c>
      <c r="R14" s="154">
        <f t="shared" si="14"/>
        <v>271.89999999999998</v>
      </c>
      <c r="S14" s="154">
        <f t="shared" si="15"/>
        <v>28.3</v>
      </c>
      <c r="T14" s="154">
        <f t="shared" si="16"/>
        <v>912</v>
      </c>
      <c r="U14" s="1532"/>
      <c r="V14" s="154">
        <f t="shared" si="5"/>
        <v>912</v>
      </c>
      <c r="W14" s="154">
        <f>AQ14</f>
        <v>274</v>
      </c>
      <c r="X14" s="54">
        <v>1</v>
      </c>
      <c r="Y14" s="24">
        <v>30</v>
      </c>
      <c r="Z14" s="48">
        <f t="shared" si="17"/>
        <v>30</v>
      </c>
      <c r="AA14" s="54"/>
      <c r="AB14" s="24">
        <v>15</v>
      </c>
      <c r="AC14" s="48">
        <f t="shared" si="18"/>
        <v>0</v>
      </c>
      <c r="AD14" s="54"/>
      <c r="AE14" s="24">
        <v>30</v>
      </c>
      <c r="AF14" s="48">
        <f>AD14*AE14</f>
        <v>0</v>
      </c>
      <c r="AG14" s="278">
        <f t="shared" si="0"/>
        <v>9</v>
      </c>
      <c r="AH14" s="48">
        <f t="shared" si="1"/>
        <v>39</v>
      </c>
      <c r="AI14" s="34">
        <f t="shared" si="2"/>
        <v>76000</v>
      </c>
      <c r="AJ14" s="34"/>
      <c r="AK14" s="216">
        <f t="shared" si="3"/>
        <v>912</v>
      </c>
      <c r="AL14" s="216">
        <f t="shared" si="6"/>
        <v>283.5</v>
      </c>
      <c r="AM14" s="217">
        <f>AL14/AK14</f>
        <v>0.311</v>
      </c>
      <c r="AN14" s="50">
        <f>AK14*0.22</f>
        <v>200.6</v>
      </c>
      <c r="AO14" s="50">
        <f>865*0.029</f>
        <v>25.1</v>
      </c>
      <c r="AP14" s="50">
        <f>AK14*0.053</f>
        <v>48.3</v>
      </c>
      <c r="AQ14" s="50">
        <f>SUM(AN14:AP14)*C14</f>
        <v>274</v>
      </c>
      <c r="AS14" s="66"/>
    </row>
    <row r="15" spans="1:45" ht="26.4" x14ac:dyDescent="0.25">
      <c r="A15" s="278">
        <v>8</v>
      </c>
      <c r="B15" s="218" t="s">
        <v>45</v>
      </c>
      <c r="C15" s="278">
        <v>1</v>
      </c>
      <c r="D15" s="177">
        <v>11.061999999999999</v>
      </c>
      <c r="E15" s="171">
        <f t="shared" si="8"/>
        <v>11.06</v>
      </c>
      <c r="F15" s="154">
        <f t="shared" si="9"/>
        <v>132.69999999999999</v>
      </c>
      <c r="G15" s="154"/>
      <c r="H15" s="154">
        <v>2.4</v>
      </c>
      <c r="I15" s="154"/>
      <c r="J15" s="154"/>
      <c r="K15" s="154">
        <f>F15*0.4</f>
        <v>53.1</v>
      </c>
      <c r="L15" s="154">
        <f t="shared" si="4"/>
        <v>44.9</v>
      </c>
      <c r="M15" s="154">
        <f t="shared" si="10"/>
        <v>233.1</v>
      </c>
      <c r="N15" s="171">
        <v>0.43</v>
      </c>
      <c r="O15" s="154">
        <f t="shared" si="11"/>
        <v>100.2</v>
      </c>
      <c r="P15" s="154">
        <f t="shared" si="12"/>
        <v>333.3</v>
      </c>
      <c r="Q15" s="154">
        <f t="shared" si="13"/>
        <v>266.60000000000002</v>
      </c>
      <c r="R15" s="154">
        <f t="shared" si="14"/>
        <v>266.60000000000002</v>
      </c>
      <c r="S15" s="154">
        <f t="shared" si="15"/>
        <v>27.7</v>
      </c>
      <c r="T15" s="154">
        <f t="shared" si="16"/>
        <v>894.2</v>
      </c>
      <c r="U15" s="1532"/>
      <c r="V15" s="154">
        <f t="shared" si="5"/>
        <v>894.2</v>
      </c>
      <c r="W15" s="154">
        <f>AQ15</f>
        <v>269.2</v>
      </c>
      <c r="X15" s="54"/>
      <c r="Y15" s="24">
        <v>30</v>
      </c>
      <c r="Z15" s="48">
        <f t="shared" si="17"/>
        <v>0</v>
      </c>
      <c r="AA15" s="54"/>
      <c r="AB15" s="24">
        <v>15</v>
      </c>
      <c r="AC15" s="48">
        <f t="shared" si="18"/>
        <v>0</v>
      </c>
      <c r="AD15" s="54"/>
      <c r="AE15" s="24">
        <v>30</v>
      </c>
      <c r="AF15" s="48">
        <f t="shared" si="19"/>
        <v>0</v>
      </c>
      <c r="AG15" s="278">
        <f t="shared" si="0"/>
        <v>0</v>
      </c>
      <c r="AH15" s="48">
        <f t="shared" si="1"/>
        <v>0</v>
      </c>
      <c r="AI15" s="34">
        <f t="shared" si="2"/>
        <v>74516.7</v>
      </c>
      <c r="AJ15" s="34"/>
      <c r="AK15" s="216">
        <f t="shared" si="3"/>
        <v>894.2</v>
      </c>
      <c r="AL15" s="216">
        <f t="shared" si="6"/>
        <v>280.2</v>
      </c>
      <c r="AM15" s="217">
        <v>0.30199999999999999</v>
      </c>
      <c r="AN15" s="50">
        <f>AK15*0.22</f>
        <v>196.7</v>
      </c>
      <c r="AO15" s="50">
        <f>865*0.029</f>
        <v>25.1</v>
      </c>
      <c r="AP15" s="50">
        <f>AK15*0.053</f>
        <v>47.4</v>
      </c>
      <c r="AQ15" s="50">
        <f t="shared" si="7"/>
        <v>269.2</v>
      </c>
      <c r="AS15" s="66"/>
    </row>
    <row r="16" spans="1:45" ht="26.4" x14ac:dyDescent="0.25">
      <c r="A16" s="278">
        <v>9</v>
      </c>
      <c r="B16" s="218" t="s">
        <v>46</v>
      </c>
      <c r="C16" s="278">
        <v>1</v>
      </c>
      <c r="D16" s="177">
        <v>11.061999999999999</v>
      </c>
      <c r="E16" s="171">
        <f t="shared" si="8"/>
        <v>11.06</v>
      </c>
      <c r="F16" s="154">
        <f t="shared" si="9"/>
        <v>132.69999999999999</v>
      </c>
      <c r="G16" s="154"/>
      <c r="H16" s="154">
        <v>2.4</v>
      </c>
      <c r="I16" s="154"/>
      <c r="J16" s="154"/>
      <c r="K16" s="154">
        <f>F16*0.4</f>
        <v>53.1</v>
      </c>
      <c r="L16" s="154">
        <f t="shared" si="4"/>
        <v>44.9</v>
      </c>
      <c r="M16" s="154">
        <f t="shared" si="10"/>
        <v>233.1</v>
      </c>
      <c r="N16" s="171">
        <v>0.43</v>
      </c>
      <c r="O16" s="154">
        <f t="shared" si="11"/>
        <v>100.2</v>
      </c>
      <c r="P16" s="154">
        <f t="shared" si="12"/>
        <v>333.3</v>
      </c>
      <c r="Q16" s="154">
        <f t="shared" si="13"/>
        <v>266.60000000000002</v>
      </c>
      <c r="R16" s="154">
        <f t="shared" si="14"/>
        <v>266.60000000000002</v>
      </c>
      <c r="S16" s="154">
        <f t="shared" si="15"/>
        <v>27.7</v>
      </c>
      <c r="T16" s="154">
        <f t="shared" si="16"/>
        <v>894.2</v>
      </c>
      <c r="U16" s="1532"/>
      <c r="V16" s="154">
        <f t="shared" si="5"/>
        <v>894.2</v>
      </c>
      <c r="W16" s="154">
        <f>AQ16</f>
        <v>269.2</v>
      </c>
      <c r="X16" s="54">
        <v>1</v>
      </c>
      <c r="Y16" s="24">
        <v>30</v>
      </c>
      <c r="Z16" s="48">
        <f t="shared" si="17"/>
        <v>30</v>
      </c>
      <c r="AA16" s="54">
        <v>1</v>
      </c>
      <c r="AB16" s="24">
        <v>15</v>
      </c>
      <c r="AC16" s="48">
        <f t="shared" si="18"/>
        <v>15</v>
      </c>
      <c r="AD16" s="54">
        <v>1</v>
      </c>
      <c r="AE16" s="24">
        <v>30</v>
      </c>
      <c r="AF16" s="48">
        <f t="shared" si="19"/>
        <v>30</v>
      </c>
      <c r="AG16" s="278">
        <f t="shared" si="0"/>
        <v>22.5</v>
      </c>
      <c r="AH16" s="48">
        <f t="shared" si="1"/>
        <v>97.5</v>
      </c>
      <c r="AI16" s="34">
        <f t="shared" si="2"/>
        <v>74516.7</v>
      </c>
      <c r="AJ16" s="34"/>
      <c r="AK16" s="216">
        <f t="shared" si="3"/>
        <v>894.2</v>
      </c>
      <c r="AL16" s="216">
        <f t="shared" si="6"/>
        <v>280.2</v>
      </c>
      <c r="AM16" s="217">
        <f>AL16/AK16</f>
        <v>0.313</v>
      </c>
      <c r="AN16" s="50">
        <f>AK16*0.22</f>
        <v>196.7</v>
      </c>
      <c r="AO16" s="50">
        <f>865*0.029</f>
        <v>25.1</v>
      </c>
      <c r="AP16" s="50">
        <f>AK16*0.053</f>
        <v>47.4</v>
      </c>
      <c r="AQ16" s="50">
        <f t="shared" si="7"/>
        <v>269.2</v>
      </c>
      <c r="AS16" s="66"/>
    </row>
    <row r="17" spans="1:45" ht="26.4" x14ac:dyDescent="0.25">
      <c r="A17" s="278">
        <v>10</v>
      </c>
      <c r="B17" s="218" t="s">
        <v>100</v>
      </c>
      <c r="C17" s="278">
        <v>1</v>
      </c>
      <c r="D17" s="177">
        <v>11.061999999999999</v>
      </c>
      <c r="E17" s="171">
        <f>C17*D17</f>
        <v>11.06</v>
      </c>
      <c r="F17" s="154">
        <f>E17*12</f>
        <v>132.69999999999999</v>
      </c>
      <c r="G17" s="154"/>
      <c r="H17" s="154">
        <v>5.4</v>
      </c>
      <c r="I17" s="154"/>
      <c r="J17" s="154"/>
      <c r="K17" s="154"/>
      <c r="L17" s="154">
        <f t="shared" si="4"/>
        <v>44.9</v>
      </c>
      <c r="M17" s="154">
        <f>F17+G17+H17+I17+J17+K17+L17</f>
        <v>183</v>
      </c>
      <c r="N17" s="171">
        <v>0.43</v>
      </c>
      <c r="O17" s="154">
        <f>M17*N17</f>
        <v>78.7</v>
      </c>
      <c r="P17" s="154">
        <f>M17+O17</f>
        <v>261.7</v>
      </c>
      <c r="Q17" s="154">
        <f>P17*0.8</f>
        <v>209.4</v>
      </c>
      <c r="R17" s="154">
        <f>P17*0.8</f>
        <v>209.4</v>
      </c>
      <c r="S17" s="154">
        <f>(P17+Q17+R17)*0.032</f>
        <v>21.8</v>
      </c>
      <c r="T17" s="154">
        <f>P17+Q17+R17+S17</f>
        <v>702.3</v>
      </c>
      <c r="U17" s="1532"/>
      <c r="V17" s="154">
        <f t="shared" si="5"/>
        <v>702.3</v>
      </c>
      <c r="W17" s="154">
        <f>V17*0.302</f>
        <v>212.1</v>
      </c>
      <c r="X17" s="54">
        <v>1</v>
      </c>
      <c r="Y17" s="24">
        <v>30</v>
      </c>
      <c r="Z17" s="48">
        <f>X17*Y17</f>
        <v>30</v>
      </c>
      <c r="AA17" s="54"/>
      <c r="AB17" s="24">
        <v>15</v>
      </c>
      <c r="AC17" s="48">
        <f>AA17*AB17</f>
        <v>0</v>
      </c>
      <c r="AD17" s="54"/>
      <c r="AE17" s="24">
        <v>30</v>
      </c>
      <c r="AF17" s="48">
        <f>AD17*AE17</f>
        <v>0</v>
      </c>
      <c r="AG17" s="278">
        <f t="shared" si="0"/>
        <v>9</v>
      </c>
      <c r="AH17" s="48">
        <f t="shared" si="1"/>
        <v>39</v>
      </c>
      <c r="AI17" s="34">
        <f t="shared" si="2"/>
        <v>58525</v>
      </c>
      <c r="AJ17" s="34"/>
      <c r="AK17" s="216">
        <f t="shared" si="3"/>
        <v>702.3</v>
      </c>
      <c r="AL17" s="216">
        <f t="shared" si="6"/>
        <v>245.3</v>
      </c>
      <c r="AM17" s="217">
        <f>AL17/AK17</f>
        <v>0.34899999999999998</v>
      </c>
      <c r="AN17" s="50"/>
      <c r="AO17" s="50"/>
      <c r="AP17" s="50"/>
      <c r="AQ17" s="50">
        <f t="shared" si="7"/>
        <v>0</v>
      </c>
      <c r="AS17" s="66"/>
    </row>
    <row r="18" spans="1:45" x14ac:dyDescent="0.25">
      <c r="A18" s="278">
        <v>11</v>
      </c>
      <c r="B18" s="218" t="s">
        <v>105</v>
      </c>
      <c r="C18" s="278">
        <v>2</v>
      </c>
      <c r="D18" s="177">
        <v>8.4730000000000008</v>
      </c>
      <c r="E18" s="171">
        <f t="shared" si="8"/>
        <v>16.95</v>
      </c>
      <c r="F18" s="154">
        <f t="shared" si="9"/>
        <v>203.4</v>
      </c>
      <c r="G18" s="154"/>
      <c r="H18" s="154">
        <v>2.1</v>
      </c>
      <c r="I18" s="154"/>
      <c r="J18" s="154"/>
      <c r="K18" s="154">
        <f>D18*0.35*12+D18*0.3*12+D18*9.5*0.05</f>
        <v>70.099999999999994</v>
      </c>
      <c r="L18" s="154">
        <f t="shared" si="4"/>
        <v>68.8</v>
      </c>
      <c r="M18" s="154">
        <f t="shared" si="10"/>
        <v>344.4</v>
      </c>
      <c r="N18" s="171">
        <v>0.41</v>
      </c>
      <c r="O18" s="154">
        <f t="shared" si="11"/>
        <v>141.19999999999999</v>
      </c>
      <c r="P18" s="154">
        <f t="shared" si="12"/>
        <v>485.6</v>
      </c>
      <c r="Q18" s="154">
        <f t="shared" si="13"/>
        <v>388.5</v>
      </c>
      <c r="R18" s="154">
        <f t="shared" si="14"/>
        <v>388.5</v>
      </c>
      <c r="S18" s="154">
        <f t="shared" si="15"/>
        <v>40.4</v>
      </c>
      <c r="T18" s="154">
        <f t="shared" si="16"/>
        <v>1303</v>
      </c>
      <c r="U18" s="1532"/>
      <c r="V18" s="154">
        <f t="shared" si="5"/>
        <v>1303</v>
      </c>
      <c r="W18" s="154">
        <f>V18*0.302</f>
        <v>393.5</v>
      </c>
      <c r="X18" s="54"/>
      <c r="Y18" s="24">
        <v>30</v>
      </c>
      <c r="Z18" s="48">
        <f t="shared" si="17"/>
        <v>0</v>
      </c>
      <c r="AA18" s="54"/>
      <c r="AB18" s="24">
        <v>15</v>
      </c>
      <c r="AC18" s="48">
        <f t="shared" si="18"/>
        <v>0</v>
      </c>
      <c r="AD18" s="54"/>
      <c r="AE18" s="24">
        <v>30</v>
      </c>
      <c r="AF18" s="48">
        <f t="shared" si="19"/>
        <v>0</v>
      </c>
      <c r="AG18" s="278">
        <f t="shared" si="0"/>
        <v>0</v>
      </c>
      <c r="AH18" s="48">
        <f t="shared" si="1"/>
        <v>0</v>
      </c>
      <c r="AI18" s="34">
        <f t="shared" si="2"/>
        <v>54291.7</v>
      </c>
      <c r="AJ18" s="34"/>
      <c r="AK18" s="216">
        <f t="shared" si="3"/>
        <v>651.5</v>
      </c>
      <c r="AL18" s="216">
        <f t="shared" si="6"/>
        <v>236.1</v>
      </c>
      <c r="AM18" s="217">
        <v>0.30199999999999999</v>
      </c>
      <c r="AQ18" s="50">
        <f t="shared" si="7"/>
        <v>0</v>
      </c>
      <c r="AS18" s="66"/>
    </row>
    <row r="19" spans="1:45" x14ac:dyDescent="0.25">
      <c r="A19" s="278">
        <v>12</v>
      </c>
      <c r="B19" s="218" t="s">
        <v>47</v>
      </c>
      <c r="C19" s="219">
        <v>1</v>
      </c>
      <c r="D19" s="177">
        <v>6.2859999999999996</v>
      </c>
      <c r="E19" s="171">
        <f t="shared" si="8"/>
        <v>6.29</v>
      </c>
      <c r="F19" s="154">
        <f t="shared" si="9"/>
        <v>75.5</v>
      </c>
      <c r="G19" s="154"/>
      <c r="H19" s="154">
        <v>2.8</v>
      </c>
      <c r="I19" s="154"/>
      <c r="J19" s="154"/>
      <c r="K19" s="154">
        <f>F19*0.2+D19*0.05*9.5</f>
        <v>18.100000000000001</v>
      </c>
      <c r="L19" s="154">
        <f t="shared" si="4"/>
        <v>25.5</v>
      </c>
      <c r="M19" s="154">
        <f t="shared" si="10"/>
        <v>121.9</v>
      </c>
      <c r="N19" s="171">
        <v>0.45</v>
      </c>
      <c r="O19" s="154">
        <f t="shared" si="11"/>
        <v>54.9</v>
      </c>
      <c r="P19" s="154">
        <f t="shared" si="12"/>
        <v>176.8</v>
      </c>
      <c r="Q19" s="154">
        <f t="shared" si="13"/>
        <v>141.4</v>
      </c>
      <c r="R19" s="154">
        <f t="shared" si="14"/>
        <v>141.4</v>
      </c>
      <c r="S19" s="154">
        <f t="shared" si="15"/>
        <v>14.7</v>
      </c>
      <c r="T19" s="154">
        <f t="shared" si="16"/>
        <v>474.3</v>
      </c>
      <c r="U19" s="1532"/>
      <c r="V19" s="154">
        <f t="shared" si="5"/>
        <v>474.3</v>
      </c>
      <c r="W19" s="154">
        <f>V19*0.302</f>
        <v>143.19999999999999</v>
      </c>
      <c r="X19" s="54">
        <v>1</v>
      </c>
      <c r="Y19" s="24">
        <v>30</v>
      </c>
      <c r="Z19" s="48">
        <f t="shared" si="17"/>
        <v>30</v>
      </c>
      <c r="AA19" s="54"/>
      <c r="AB19" s="24">
        <v>15</v>
      </c>
      <c r="AC19" s="48">
        <f t="shared" si="18"/>
        <v>0</v>
      </c>
      <c r="AD19" s="54">
        <v>1</v>
      </c>
      <c r="AE19" s="24">
        <v>30</v>
      </c>
      <c r="AF19" s="48">
        <f t="shared" si="19"/>
        <v>30</v>
      </c>
      <c r="AG19" s="278">
        <f t="shared" si="0"/>
        <v>18</v>
      </c>
      <c r="AH19" s="48">
        <f t="shared" si="1"/>
        <v>78</v>
      </c>
      <c r="AI19" s="34">
        <f t="shared" si="2"/>
        <v>39525</v>
      </c>
      <c r="AJ19" s="34"/>
      <c r="AK19" s="216">
        <f t="shared" si="3"/>
        <v>474.3</v>
      </c>
      <c r="AL19" s="216">
        <f t="shared" si="6"/>
        <v>203.8</v>
      </c>
      <c r="AM19" s="217">
        <v>0.30199999999999999</v>
      </c>
      <c r="AQ19" s="50">
        <f t="shared" si="7"/>
        <v>0</v>
      </c>
      <c r="AS19" s="66"/>
    </row>
    <row r="20" spans="1:45" s="33" customFormat="1" x14ac:dyDescent="0.25">
      <c r="A20" s="278">
        <v>13</v>
      </c>
      <c r="B20" s="218" t="s">
        <v>48</v>
      </c>
      <c r="C20" s="278">
        <v>1</v>
      </c>
      <c r="D20" s="177">
        <v>11.061999999999999</v>
      </c>
      <c r="E20" s="171">
        <f>C20*D20</f>
        <v>11.06</v>
      </c>
      <c r="F20" s="154">
        <f>E20*12</f>
        <v>132.69999999999999</v>
      </c>
      <c r="G20" s="154"/>
      <c r="H20" s="154">
        <v>1.8</v>
      </c>
      <c r="I20" s="154"/>
      <c r="J20" s="154"/>
      <c r="K20" s="154">
        <f>F20*0.35</f>
        <v>46.4</v>
      </c>
      <c r="L20" s="154">
        <f t="shared" si="4"/>
        <v>44.9</v>
      </c>
      <c r="M20" s="154">
        <f>F20+G20+H20+I20+J20+K20+L20</f>
        <v>225.8</v>
      </c>
      <c r="N20" s="171">
        <v>0.47</v>
      </c>
      <c r="O20" s="154">
        <f>M20*N20</f>
        <v>106.1</v>
      </c>
      <c r="P20" s="154">
        <f>M20+O20</f>
        <v>331.9</v>
      </c>
      <c r="Q20" s="154">
        <f>P20*0.8</f>
        <v>265.5</v>
      </c>
      <c r="R20" s="154">
        <f>P20*0.8</f>
        <v>265.5</v>
      </c>
      <c r="S20" s="154">
        <f>(P20+Q20+R20)*0.032</f>
        <v>27.6</v>
      </c>
      <c r="T20" s="154">
        <f>P20+Q20+R20+S20</f>
        <v>890.5</v>
      </c>
      <c r="U20" s="1532"/>
      <c r="V20" s="154">
        <f t="shared" si="5"/>
        <v>890.5</v>
      </c>
      <c r="W20" s="154">
        <f>AQ20</f>
        <v>268.2</v>
      </c>
      <c r="X20" s="54">
        <v>1</v>
      </c>
      <c r="Y20" s="24">
        <v>30</v>
      </c>
      <c r="Z20" s="48">
        <f>X20*Y20</f>
        <v>30</v>
      </c>
      <c r="AA20" s="54"/>
      <c r="AB20" s="24">
        <v>15</v>
      </c>
      <c r="AC20" s="48">
        <f>AA20*AB20</f>
        <v>0</v>
      </c>
      <c r="AD20" s="54"/>
      <c r="AE20" s="24">
        <v>30</v>
      </c>
      <c r="AF20" s="48">
        <f>AD20*AE20</f>
        <v>0</v>
      </c>
      <c r="AG20" s="278">
        <f t="shared" si="0"/>
        <v>9</v>
      </c>
      <c r="AH20" s="48">
        <f t="shared" si="1"/>
        <v>39</v>
      </c>
      <c r="AI20" s="34">
        <f t="shared" si="2"/>
        <v>74208.3</v>
      </c>
      <c r="AJ20" s="220"/>
      <c r="AK20" s="216">
        <f t="shared" si="3"/>
        <v>890.5</v>
      </c>
      <c r="AL20" s="216">
        <f t="shared" si="6"/>
        <v>279.60000000000002</v>
      </c>
      <c r="AM20" s="217">
        <f>AL20/AK20</f>
        <v>0.314</v>
      </c>
      <c r="AN20" s="50">
        <f>AK20*0.22</f>
        <v>195.9</v>
      </c>
      <c r="AO20" s="50">
        <f>865*0.029</f>
        <v>25.1</v>
      </c>
      <c r="AP20" s="50">
        <f>AK20*0.053</f>
        <v>47.2</v>
      </c>
      <c r="AQ20" s="50">
        <f t="shared" si="7"/>
        <v>268.2</v>
      </c>
      <c r="AS20" s="66"/>
    </row>
    <row r="21" spans="1:45" s="33" customFormat="1" x14ac:dyDescent="0.25">
      <c r="A21" s="278">
        <v>14</v>
      </c>
      <c r="B21" s="218" t="s">
        <v>31</v>
      </c>
      <c r="C21" s="278">
        <v>5</v>
      </c>
      <c r="D21" s="177">
        <v>11.061999999999999</v>
      </c>
      <c r="E21" s="171">
        <f>C21*D21</f>
        <v>55.31</v>
      </c>
      <c r="F21" s="154">
        <f>E21*12</f>
        <v>663.7</v>
      </c>
      <c r="G21" s="154"/>
      <c r="H21" s="154">
        <f>40.443+1.617+1.078</f>
        <v>43.1</v>
      </c>
      <c r="I21" s="154"/>
      <c r="J21" s="154"/>
      <c r="K21" s="154">
        <f>D21*0.4*4*12+D21*0.35*12+D21*0.05*3</f>
        <v>260.5</v>
      </c>
      <c r="L21" s="154">
        <f t="shared" si="4"/>
        <v>224.6</v>
      </c>
      <c r="M21" s="154">
        <f>F21+G21+H21+I21+J21+K21+L21</f>
        <v>1191.9000000000001</v>
      </c>
      <c r="N21" s="171">
        <v>0.47</v>
      </c>
      <c r="O21" s="154">
        <f>M21*N21</f>
        <v>560.20000000000005</v>
      </c>
      <c r="P21" s="154">
        <f>M21+O21</f>
        <v>1752.1</v>
      </c>
      <c r="Q21" s="154">
        <f>P21*0.8</f>
        <v>1401.7</v>
      </c>
      <c r="R21" s="154">
        <f>P21*0.8</f>
        <v>1401.7</v>
      </c>
      <c r="S21" s="154">
        <f>(P21+Q21+R21)*0.032</f>
        <v>145.80000000000001</v>
      </c>
      <c r="T21" s="154">
        <f>P21+Q21+R21+S21</f>
        <v>4701.3</v>
      </c>
      <c r="U21" s="1532"/>
      <c r="V21" s="154">
        <f t="shared" si="5"/>
        <v>4701.3</v>
      </c>
      <c r="W21" s="154">
        <f>AQ21*C21</f>
        <v>1409</v>
      </c>
      <c r="X21" s="54">
        <v>4</v>
      </c>
      <c r="Y21" s="24">
        <v>30</v>
      </c>
      <c r="Z21" s="48">
        <f>X21*Y21</f>
        <v>120</v>
      </c>
      <c r="AA21" s="54">
        <v>2</v>
      </c>
      <c r="AB21" s="24">
        <v>15</v>
      </c>
      <c r="AC21" s="48">
        <f>AA21*AB21</f>
        <v>30</v>
      </c>
      <c r="AD21" s="54">
        <v>1</v>
      </c>
      <c r="AE21" s="24">
        <v>30</v>
      </c>
      <c r="AF21" s="48">
        <f>AD21*AE21</f>
        <v>30</v>
      </c>
      <c r="AG21" s="278">
        <f t="shared" si="0"/>
        <v>54</v>
      </c>
      <c r="AH21" s="48">
        <f t="shared" si="1"/>
        <v>234</v>
      </c>
      <c r="AI21" s="34">
        <f t="shared" si="2"/>
        <v>78355</v>
      </c>
      <c r="AJ21" s="220"/>
      <c r="AK21" s="216">
        <f t="shared" si="3"/>
        <v>940.3</v>
      </c>
      <c r="AL21" s="216">
        <f t="shared" si="6"/>
        <v>288.60000000000002</v>
      </c>
      <c r="AM21" s="217">
        <v>0.30199999999999999</v>
      </c>
      <c r="AN21" s="211">
        <f>AK21*0.22</f>
        <v>206.86600000000001</v>
      </c>
      <c r="AO21" s="50">
        <f>865*0.029</f>
        <v>25.1</v>
      </c>
      <c r="AP21" s="50">
        <f>AK21*0.053</f>
        <v>49.8</v>
      </c>
      <c r="AQ21" s="50">
        <f>SUM(AN21:AP21)</f>
        <v>281.8</v>
      </c>
      <c r="AS21" s="66"/>
    </row>
    <row r="22" spans="1:45" s="33" customFormat="1" ht="26.4" x14ac:dyDescent="0.25">
      <c r="A22" s="278">
        <v>15</v>
      </c>
      <c r="B22" s="218" t="s">
        <v>110</v>
      </c>
      <c r="C22" s="278">
        <v>1</v>
      </c>
      <c r="D22" s="177">
        <v>6.2859999999999996</v>
      </c>
      <c r="E22" s="171">
        <f>C22*D22</f>
        <v>6.29</v>
      </c>
      <c r="F22" s="154">
        <f>E22*12</f>
        <v>75.5</v>
      </c>
      <c r="G22" s="154"/>
      <c r="H22" s="154"/>
      <c r="I22" s="154"/>
      <c r="J22" s="154"/>
      <c r="K22" s="154">
        <f>F22*0.2</f>
        <v>15.1</v>
      </c>
      <c r="L22" s="154">
        <f t="shared" si="4"/>
        <v>25.5</v>
      </c>
      <c r="M22" s="154">
        <f>F22+G22+H22+I22+J22+K22+L22</f>
        <v>116.1</v>
      </c>
      <c r="N22" s="171">
        <v>0.45</v>
      </c>
      <c r="O22" s="154">
        <f>M22*N22</f>
        <v>52.2</v>
      </c>
      <c r="P22" s="154">
        <f>M22+O22</f>
        <v>168.3</v>
      </c>
      <c r="Q22" s="154">
        <f>P22*0.8</f>
        <v>134.6</v>
      </c>
      <c r="R22" s="154">
        <f>P22*0.8</f>
        <v>134.6</v>
      </c>
      <c r="S22" s="154">
        <f>(P22+Q22+R22)*0.032</f>
        <v>14</v>
      </c>
      <c r="T22" s="154">
        <f>P22+Q22+R22+S22</f>
        <v>451.5</v>
      </c>
      <c r="U22" s="1532"/>
      <c r="V22" s="154">
        <f t="shared" si="5"/>
        <v>451.5</v>
      </c>
      <c r="W22" s="154">
        <f t="shared" ref="W22:W51" si="20">V22*0.302</f>
        <v>136.4</v>
      </c>
      <c r="X22" s="54">
        <v>1</v>
      </c>
      <c r="Y22" s="24">
        <v>30</v>
      </c>
      <c r="Z22" s="48">
        <f>X22*Y22</f>
        <v>30</v>
      </c>
      <c r="AA22" s="54"/>
      <c r="AB22" s="24">
        <v>15</v>
      </c>
      <c r="AC22" s="48">
        <f>AA22*AB22</f>
        <v>0</v>
      </c>
      <c r="AD22" s="54"/>
      <c r="AE22" s="24">
        <v>30</v>
      </c>
      <c r="AF22" s="48">
        <f>AD22*AE22</f>
        <v>0</v>
      </c>
      <c r="AG22" s="278">
        <f t="shared" si="0"/>
        <v>9</v>
      </c>
      <c r="AH22" s="48">
        <f t="shared" si="1"/>
        <v>39</v>
      </c>
      <c r="AI22" s="34">
        <f t="shared" si="2"/>
        <v>37625</v>
      </c>
      <c r="AJ22" s="220"/>
      <c r="AK22" s="216">
        <f t="shared" si="3"/>
        <v>451.5</v>
      </c>
      <c r="AL22" s="216">
        <f t="shared" si="6"/>
        <v>199.7</v>
      </c>
      <c r="AM22" s="217">
        <v>0.30199999999999999</v>
      </c>
      <c r="AN22" s="211"/>
      <c r="AO22" s="211"/>
      <c r="AP22" s="211"/>
      <c r="AQ22" s="50">
        <f t="shared" si="7"/>
        <v>0</v>
      </c>
      <c r="AS22" s="66"/>
    </row>
    <row r="23" spans="1:45" x14ac:dyDescent="0.25">
      <c r="A23" s="278">
        <v>16</v>
      </c>
      <c r="B23" s="218" t="s">
        <v>49</v>
      </c>
      <c r="C23" s="54">
        <v>1</v>
      </c>
      <c r="D23" s="177">
        <v>8.4730000000000008</v>
      </c>
      <c r="E23" s="171">
        <f>C23*D23</f>
        <v>8.4700000000000006</v>
      </c>
      <c r="F23" s="154">
        <f t="shared" ref="F23:F41" si="21">E23*12</f>
        <v>101.6</v>
      </c>
      <c r="G23" s="154"/>
      <c r="H23" s="154">
        <v>3.7</v>
      </c>
      <c r="I23" s="154"/>
      <c r="J23" s="154">
        <f>F23*0.1</f>
        <v>10.199999999999999</v>
      </c>
      <c r="K23" s="154">
        <f>F23*0.3</f>
        <v>30.5</v>
      </c>
      <c r="L23" s="154">
        <f t="shared" si="4"/>
        <v>34.4</v>
      </c>
      <c r="M23" s="154">
        <f t="shared" ref="M23:M41" si="22">F23+G23+H23+I23+J23+K23+L23</f>
        <v>180.4</v>
      </c>
      <c r="N23" s="171">
        <v>0.41</v>
      </c>
      <c r="O23" s="154">
        <f t="shared" ref="O23:O41" si="23">M23*N23</f>
        <v>74</v>
      </c>
      <c r="P23" s="154">
        <f t="shared" ref="P23:P41" si="24">M23+O23</f>
        <v>254.4</v>
      </c>
      <c r="Q23" s="154">
        <f t="shared" ref="Q23:Q41" si="25">P23*0.8</f>
        <v>203.5</v>
      </c>
      <c r="R23" s="154">
        <f t="shared" ref="R23:R41" si="26">P23*0.8</f>
        <v>203.5</v>
      </c>
      <c r="S23" s="154">
        <f t="shared" ref="S23:S41" si="27">(P23+Q23+R23)*0.032</f>
        <v>21.2</v>
      </c>
      <c r="T23" s="154">
        <f t="shared" ref="T23:T41" si="28">P23+Q23+R23+S23</f>
        <v>682.6</v>
      </c>
      <c r="U23" s="1532"/>
      <c r="V23" s="154">
        <f t="shared" si="5"/>
        <v>682.6</v>
      </c>
      <c r="W23" s="154">
        <f t="shared" si="20"/>
        <v>206.1</v>
      </c>
      <c r="X23" s="278">
        <v>1</v>
      </c>
      <c r="Y23" s="24">
        <v>30</v>
      </c>
      <c r="Z23" s="48">
        <f>X23*Y23</f>
        <v>30</v>
      </c>
      <c r="AA23" s="54">
        <v>1</v>
      </c>
      <c r="AB23" s="24">
        <v>15</v>
      </c>
      <c r="AC23" s="48">
        <f>AA23*AB23</f>
        <v>15</v>
      </c>
      <c r="AD23" s="54"/>
      <c r="AE23" s="24">
        <v>30</v>
      </c>
      <c r="AF23" s="48">
        <f>AD23*AE23</f>
        <v>0</v>
      </c>
      <c r="AG23" s="278">
        <f t="shared" si="0"/>
        <v>13.5</v>
      </c>
      <c r="AH23" s="48">
        <f t="shared" si="1"/>
        <v>58.5</v>
      </c>
      <c r="AI23" s="34">
        <f t="shared" si="2"/>
        <v>56883.3</v>
      </c>
      <c r="AJ23" s="34"/>
      <c r="AK23" s="216">
        <f t="shared" si="3"/>
        <v>682.6</v>
      </c>
      <c r="AL23" s="216">
        <f t="shared" si="6"/>
        <v>241.7</v>
      </c>
      <c r="AM23" s="217">
        <v>0.30199999999999999</v>
      </c>
      <c r="AQ23" s="50">
        <f t="shared" si="7"/>
        <v>0</v>
      </c>
      <c r="AS23" s="66"/>
    </row>
    <row r="24" spans="1:45" x14ac:dyDescent="0.25">
      <c r="A24" s="278">
        <v>17</v>
      </c>
      <c r="B24" s="218" t="s">
        <v>50</v>
      </c>
      <c r="C24" s="54">
        <v>1</v>
      </c>
      <c r="D24" s="177">
        <v>8.4730000000000008</v>
      </c>
      <c r="E24" s="171">
        <f>C24*D24</f>
        <v>8.4700000000000006</v>
      </c>
      <c r="F24" s="154">
        <f t="shared" si="21"/>
        <v>101.6</v>
      </c>
      <c r="G24" s="154"/>
      <c r="H24" s="154">
        <v>0.4</v>
      </c>
      <c r="I24" s="154"/>
      <c r="J24" s="154">
        <f>F24*0.1</f>
        <v>10.199999999999999</v>
      </c>
      <c r="K24" s="154">
        <f>F24*0.4</f>
        <v>40.6</v>
      </c>
      <c r="L24" s="154">
        <f t="shared" si="4"/>
        <v>34.4</v>
      </c>
      <c r="M24" s="154">
        <f t="shared" si="22"/>
        <v>187.2</v>
      </c>
      <c r="N24" s="171">
        <v>0.41</v>
      </c>
      <c r="O24" s="154">
        <f t="shared" si="23"/>
        <v>76.8</v>
      </c>
      <c r="P24" s="154">
        <f t="shared" si="24"/>
        <v>264</v>
      </c>
      <c r="Q24" s="154">
        <f t="shared" si="25"/>
        <v>211.2</v>
      </c>
      <c r="R24" s="154">
        <f t="shared" si="26"/>
        <v>211.2</v>
      </c>
      <c r="S24" s="154">
        <f t="shared" si="27"/>
        <v>22</v>
      </c>
      <c r="T24" s="154">
        <f t="shared" si="28"/>
        <v>708.4</v>
      </c>
      <c r="U24" s="1532"/>
      <c r="V24" s="154">
        <f t="shared" si="5"/>
        <v>708.4</v>
      </c>
      <c r="W24" s="154">
        <f t="shared" si="20"/>
        <v>213.9</v>
      </c>
      <c r="X24" s="278"/>
      <c r="Y24" s="24">
        <v>30</v>
      </c>
      <c r="Z24" s="48">
        <f>X24*Y24</f>
        <v>0</v>
      </c>
      <c r="AA24" s="54"/>
      <c r="AB24" s="24">
        <v>15</v>
      </c>
      <c r="AC24" s="48">
        <f>AA24*AB24</f>
        <v>0</v>
      </c>
      <c r="AD24" s="54"/>
      <c r="AE24" s="24">
        <v>30</v>
      </c>
      <c r="AF24" s="48">
        <f>AD24*AE24</f>
        <v>0</v>
      </c>
      <c r="AG24" s="278">
        <f t="shared" si="0"/>
        <v>0</v>
      </c>
      <c r="AH24" s="48">
        <f t="shared" si="1"/>
        <v>0</v>
      </c>
      <c r="AI24" s="34">
        <f t="shared" si="2"/>
        <v>59033.3</v>
      </c>
      <c r="AJ24" s="34"/>
      <c r="AK24" s="216">
        <f t="shared" si="3"/>
        <v>708.4</v>
      </c>
      <c r="AL24" s="216">
        <f t="shared" si="6"/>
        <v>246.4</v>
      </c>
      <c r="AM24" s="217">
        <v>0.30199999999999999</v>
      </c>
      <c r="AQ24" s="50">
        <f t="shared" si="7"/>
        <v>0</v>
      </c>
      <c r="AS24" s="66"/>
    </row>
    <row r="25" spans="1:45" ht="26.4" x14ac:dyDescent="0.25">
      <c r="A25" s="278">
        <v>18</v>
      </c>
      <c r="B25" s="218" t="s">
        <v>51</v>
      </c>
      <c r="C25" s="54">
        <v>1</v>
      </c>
      <c r="D25" s="177">
        <v>8.4730000000000008</v>
      </c>
      <c r="E25" s="171">
        <f t="shared" ref="E25:E40" si="29">C25*D25</f>
        <v>8.4700000000000006</v>
      </c>
      <c r="F25" s="154">
        <f t="shared" si="21"/>
        <v>101.6</v>
      </c>
      <c r="G25" s="154"/>
      <c r="H25" s="154">
        <v>2.1</v>
      </c>
      <c r="I25" s="154"/>
      <c r="J25" s="154">
        <f>F25*0.1</f>
        <v>10.199999999999999</v>
      </c>
      <c r="K25" s="154">
        <f>F25*0.4</f>
        <v>40.6</v>
      </c>
      <c r="L25" s="154">
        <f t="shared" si="4"/>
        <v>34.4</v>
      </c>
      <c r="M25" s="154">
        <f t="shared" si="22"/>
        <v>188.9</v>
      </c>
      <c r="N25" s="171">
        <v>0.41</v>
      </c>
      <c r="O25" s="154">
        <f t="shared" si="23"/>
        <v>77.400000000000006</v>
      </c>
      <c r="P25" s="154">
        <f t="shared" si="24"/>
        <v>266.3</v>
      </c>
      <c r="Q25" s="154">
        <f t="shared" si="25"/>
        <v>213</v>
      </c>
      <c r="R25" s="154">
        <f t="shared" si="26"/>
        <v>213</v>
      </c>
      <c r="S25" s="154">
        <f t="shared" si="27"/>
        <v>22.2</v>
      </c>
      <c r="T25" s="154">
        <f t="shared" si="28"/>
        <v>714.5</v>
      </c>
      <c r="U25" s="1532"/>
      <c r="V25" s="154">
        <f t="shared" si="5"/>
        <v>714.5</v>
      </c>
      <c r="W25" s="154">
        <f t="shared" si="20"/>
        <v>215.8</v>
      </c>
      <c r="X25" s="278">
        <v>1</v>
      </c>
      <c r="Y25" s="24">
        <v>30</v>
      </c>
      <c r="Z25" s="48">
        <f t="shared" ref="Z25:Z38" si="30">X25*Y25</f>
        <v>30</v>
      </c>
      <c r="AA25" s="54"/>
      <c r="AB25" s="24">
        <v>15</v>
      </c>
      <c r="AC25" s="48">
        <f t="shared" ref="AC25:AC38" si="31">AA25*AB25</f>
        <v>0</v>
      </c>
      <c r="AD25" s="54"/>
      <c r="AE25" s="24">
        <v>30</v>
      </c>
      <c r="AF25" s="48">
        <f t="shared" ref="AF25:AF41" si="32">AD25*AE25</f>
        <v>0</v>
      </c>
      <c r="AG25" s="278">
        <f t="shared" si="0"/>
        <v>9</v>
      </c>
      <c r="AH25" s="48">
        <f t="shared" si="1"/>
        <v>39</v>
      </c>
      <c r="AI25" s="34">
        <f t="shared" si="2"/>
        <v>59541.7</v>
      </c>
      <c r="AJ25" s="34"/>
      <c r="AK25" s="216">
        <f t="shared" si="3"/>
        <v>714.5</v>
      </c>
      <c r="AL25" s="216">
        <f t="shared" si="6"/>
        <v>247.5</v>
      </c>
      <c r="AM25" s="217">
        <v>0.30199999999999999</v>
      </c>
      <c r="AQ25" s="50">
        <f t="shared" si="7"/>
        <v>0</v>
      </c>
      <c r="AS25" s="66"/>
    </row>
    <row r="26" spans="1:45" x14ac:dyDescent="0.25">
      <c r="A26" s="278">
        <v>19</v>
      </c>
      <c r="B26" s="218" t="s">
        <v>52</v>
      </c>
      <c r="C26" s="54">
        <v>1</v>
      </c>
      <c r="D26" s="177">
        <v>8.4730000000000008</v>
      </c>
      <c r="E26" s="171">
        <f t="shared" si="29"/>
        <v>8.4700000000000006</v>
      </c>
      <c r="F26" s="154">
        <f t="shared" si="21"/>
        <v>101.6</v>
      </c>
      <c r="G26" s="154"/>
      <c r="H26" s="154">
        <v>1.4</v>
      </c>
      <c r="I26" s="154"/>
      <c r="J26" s="154"/>
      <c r="K26" s="154">
        <f>D26*0.25*7.7+D26*0.3*4.3</f>
        <v>27.2</v>
      </c>
      <c r="L26" s="154">
        <f t="shared" si="4"/>
        <v>34.4</v>
      </c>
      <c r="M26" s="154">
        <f t="shared" si="22"/>
        <v>164.6</v>
      </c>
      <c r="N26" s="171">
        <v>0.41</v>
      </c>
      <c r="O26" s="154">
        <f t="shared" si="23"/>
        <v>67.5</v>
      </c>
      <c r="P26" s="154">
        <f t="shared" si="24"/>
        <v>232.1</v>
      </c>
      <c r="Q26" s="154">
        <f t="shared" si="25"/>
        <v>185.7</v>
      </c>
      <c r="R26" s="154">
        <f t="shared" si="26"/>
        <v>185.7</v>
      </c>
      <c r="S26" s="154">
        <f t="shared" si="27"/>
        <v>19.3</v>
      </c>
      <c r="T26" s="154">
        <f t="shared" si="28"/>
        <v>622.79999999999995</v>
      </c>
      <c r="U26" s="1532"/>
      <c r="V26" s="154">
        <f t="shared" si="5"/>
        <v>622.79999999999995</v>
      </c>
      <c r="W26" s="154">
        <f t="shared" si="20"/>
        <v>188.1</v>
      </c>
      <c r="X26" s="278">
        <v>1</v>
      </c>
      <c r="Y26" s="24">
        <v>30</v>
      </c>
      <c r="Z26" s="48">
        <f t="shared" si="30"/>
        <v>30</v>
      </c>
      <c r="AA26" s="54"/>
      <c r="AB26" s="24">
        <v>15</v>
      </c>
      <c r="AC26" s="48">
        <f t="shared" si="31"/>
        <v>0</v>
      </c>
      <c r="AD26" s="54"/>
      <c r="AE26" s="24">
        <v>30</v>
      </c>
      <c r="AF26" s="48">
        <f t="shared" si="32"/>
        <v>0</v>
      </c>
      <c r="AG26" s="278">
        <f t="shared" si="0"/>
        <v>9</v>
      </c>
      <c r="AH26" s="48">
        <f t="shared" si="1"/>
        <v>39</v>
      </c>
      <c r="AI26" s="34">
        <f t="shared" si="2"/>
        <v>51900</v>
      </c>
      <c r="AJ26" s="34"/>
      <c r="AK26" s="216">
        <f t="shared" si="3"/>
        <v>622.79999999999995</v>
      </c>
      <c r="AL26" s="216">
        <f t="shared" si="6"/>
        <v>230.8</v>
      </c>
      <c r="AM26" s="217">
        <v>0.30199999999999999</v>
      </c>
      <c r="AQ26" s="50">
        <f t="shared" si="7"/>
        <v>0</v>
      </c>
      <c r="AS26" s="66"/>
    </row>
    <row r="27" spans="1:45" ht="26.25" customHeight="1" x14ac:dyDescent="0.25">
      <c r="A27" s="278">
        <v>20</v>
      </c>
      <c r="B27" s="218" t="s">
        <v>53</v>
      </c>
      <c r="C27" s="49">
        <f>1-0.5</f>
        <v>0.5</v>
      </c>
      <c r="D27" s="177">
        <v>8.4730000000000008</v>
      </c>
      <c r="E27" s="171">
        <f t="shared" si="29"/>
        <v>4.24</v>
      </c>
      <c r="F27" s="154">
        <f t="shared" si="21"/>
        <v>50.9</v>
      </c>
      <c r="G27" s="154"/>
      <c r="H27" s="154"/>
      <c r="I27" s="154"/>
      <c r="J27" s="154"/>
      <c r="K27" s="154"/>
      <c r="L27" s="154">
        <f t="shared" si="4"/>
        <v>17.2</v>
      </c>
      <c r="M27" s="154">
        <f t="shared" si="22"/>
        <v>68.099999999999994</v>
      </c>
      <c r="N27" s="171">
        <v>0.41</v>
      </c>
      <c r="O27" s="154">
        <f t="shared" si="23"/>
        <v>27.9</v>
      </c>
      <c r="P27" s="154">
        <f t="shared" si="24"/>
        <v>96</v>
      </c>
      <c r="Q27" s="154">
        <f t="shared" si="25"/>
        <v>76.8</v>
      </c>
      <c r="R27" s="154">
        <f t="shared" si="26"/>
        <v>76.8</v>
      </c>
      <c r="S27" s="154">
        <f t="shared" si="27"/>
        <v>8</v>
      </c>
      <c r="T27" s="154">
        <f t="shared" si="28"/>
        <v>257.60000000000002</v>
      </c>
      <c r="U27" s="1532"/>
      <c r="V27" s="154">
        <f t="shared" si="5"/>
        <v>257.60000000000002</v>
      </c>
      <c r="W27" s="154">
        <f t="shared" si="20"/>
        <v>77.8</v>
      </c>
      <c r="X27" s="278"/>
      <c r="Y27" s="24">
        <v>30</v>
      </c>
      <c r="Z27" s="48">
        <f t="shared" si="30"/>
        <v>0</v>
      </c>
      <c r="AA27" s="54"/>
      <c r="AB27" s="24">
        <v>15</v>
      </c>
      <c r="AC27" s="48">
        <f t="shared" si="31"/>
        <v>0</v>
      </c>
      <c r="AD27" s="54"/>
      <c r="AE27" s="24">
        <v>30</v>
      </c>
      <c r="AF27" s="48">
        <f t="shared" si="32"/>
        <v>0</v>
      </c>
      <c r="AG27" s="278">
        <f t="shared" si="0"/>
        <v>0</v>
      </c>
      <c r="AH27" s="48">
        <f t="shared" si="1"/>
        <v>0</v>
      </c>
      <c r="AI27" s="34">
        <f t="shared" si="2"/>
        <v>42933.3</v>
      </c>
      <c r="AJ27" s="34"/>
      <c r="AK27" s="216">
        <f t="shared" si="3"/>
        <v>515.20000000000005</v>
      </c>
      <c r="AL27" s="216">
        <f t="shared" si="6"/>
        <v>211.2</v>
      </c>
      <c r="AM27" s="217">
        <v>0.30199999999999999</v>
      </c>
      <c r="AQ27" s="50">
        <f t="shared" si="7"/>
        <v>0</v>
      </c>
      <c r="AS27" s="66"/>
    </row>
    <row r="28" spans="1:45" x14ac:dyDescent="0.25">
      <c r="A28" s="278">
        <v>21</v>
      </c>
      <c r="B28" s="218" t="s">
        <v>54</v>
      </c>
      <c r="C28" s="54">
        <v>1</v>
      </c>
      <c r="D28" s="177">
        <v>11.061999999999999</v>
      </c>
      <c r="E28" s="171">
        <f t="shared" si="29"/>
        <v>11.06</v>
      </c>
      <c r="F28" s="154">
        <f t="shared" si="21"/>
        <v>132.69999999999999</v>
      </c>
      <c r="G28" s="154"/>
      <c r="H28" s="154">
        <v>3.2</v>
      </c>
      <c r="I28" s="154"/>
      <c r="J28" s="154">
        <f>F28*0.1</f>
        <v>13.3</v>
      </c>
      <c r="K28" s="154">
        <f>F28*0.3</f>
        <v>39.799999999999997</v>
      </c>
      <c r="L28" s="154">
        <f t="shared" si="4"/>
        <v>44.9</v>
      </c>
      <c r="M28" s="154">
        <f t="shared" si="22"/>
        <v>233.9</v>
      </c>
      <c r="N28" s="171">
        <v>0.43</v>
      </c>
      <c r="O28" s="154">
        <f t="shared" si="23"/>
        <v>100.6</v>
      </c>
      <c r="P28" s="154">
        <f t="shared" si="24"/>
        <v>334.5</v>
      </c>
      <c r="Q28" s="154">
        <f t="shared" si="25"/>
        <v>267.60000000000002</v>
      </c>
      <c r="R28" s="154">
        <f t="shared" si="26"/>
        <v>267.60000000000002</v>
      </c>
      <c r="S28" s="154">
        <f t="shared" si="27"/>
        <v>27.8</v>
      </c>
      <c r="T28" s="154">
        <f t="shared" si="28"/>
        <v>897.5</v>
      </c>
      <c r="U28" s="1532"/>
      <c r="V28" s="154">
        <f t="shared" si="5"/>
        <v>897.5</v>
      </c>
      <c r="W28" s="154">
        <f>AQ28</f>
        <v>270.2</v>
      </c>
      <c r="X28" s="278"/>
      <c r="Y28" s="24">
        <v>30</v>
      </c>
      <c r="Z28" s="48">
        <f t="shared" si="30"/>
        <v>0</v>
      </c>
      <c r="AA28" s="54"/>
      <c r="AB28" s="24">
        <v>15</v>
      </c>
      <c r="AC28" s="48">
        <f t="shared" si="31"/>
        <v>0</v>
      </c>
      <c r="AD28" s="54"/>
      <c r="AE28" s="24">
        <v>30</v>
      </c>
      <c r="AF28" s="48">
        <f t="shared" si="32"/>
        <v>0</v>
      </c>
      <c r="AG28" s="278">
        <f t="shared" si="0"/>
        <v>0</v>
      </c>
      <c r="AH28" s="48">
        <f>Z28+AC28+AF28+AG28</f>
        <v>0</v>
      </c>
      <c r="AI28" s="34">
        <f t="shared" si="2"/>
        <v>74791.7</v>
      </c>
      <c r="AJ28" s="34"/>
      <c r="AK28" s="216">
        <f t="shared" si="3"/>
        <v>897.5</v>
      </c>
      <c r="AL28" s="216">
        <f t="shared" si="6"/>
        <v>280.8</v>
      </c>
      <c r="AM28" s="217">
        <v>0.30199999999999999</v>
      </c>
      <c r="AN28" s="221">
        <f>AK28*0.22</f>
        <v>197.5</v>
      </c>
      <c r="AO28" s="50">
        <f>865*0.029</f>
        <v>25.1</v>
      </c>
      <c r="AP28" s="50">
        <f>AK28*0.053</f>
        <v>47.6</v>
      </c>
      <c r="AQ28" s="50">
        <f t="shared" si="7"/>
        <v>270.2</v>
      </c>
      <c r="AS28" s="66"/>
    </row>
    <row r="29" spans="1:45" x14ac:dyDescent="0.25">
      <c r="A29" s="278">
        <v>22</v>
      </c>
      <c r="B29" s="218" t="s">
        <v>40</v>
      </c>
      <c r="C29" s="54">
        <v>2</v>
      </c>
      <c r="D29" s="177">
        <v>11.061999999999999</v>
      </c>
      <c r="E29" s="171">
        <f t="shared" si="29"/>
        <v>22.12</v>
      </c>
      <c r="F29" s="154">
        <f t="shared" si="21"/>
        <v>265.39999999999998</v>
      </c>
      <c r="G29" s="154"/>
      <c r="H29" s="154">
        <v>3.2</v>
      </c>
      <c r="I29" s="154"/>
      <c r="J29" s="154"/>
      <c r="K29" s="154">
        <f>D29*0.4*12+D29*0.35*12</f>
        <v>99.6</v>
      </c>
      <c r="L29" s="154">
        <f t="shared" si="4"/>
        <v>89.8</v>
      </c>
      <c r="M29" s="154">
        <f t="shared" si="22"/>
        <v>458</v>
      </c>
      <c r="N29" s="171">
        <v>0.43</v>
      </c>
      <c r="O29" s="154">
        <f t="shared" si="23"/>
        <v>196.9</v>
      </c>
      <c r="P29" s="154">
        <f t="shared" si="24"/>
        <v>654.9</v>
      </c>
      <c r="Q29" s="154">
        <f t="shared" si="25"/>
        <v>523.9</v>
      </c>
      <c r="R29" s="154">
        <f t="shared" si="26"/>
        <v>523.9</v>
      </c>
      <c r="S29" s="154">
        <f t="shared" si="27"/>
        <v>54.5</v>
      </c>
      <c r="T29" s="154">
        <f t="shared" si="28"/>
        <v>1757.2</v>
      </c>
      <c r="U29" s="1532"/>
      <c r="V29" s="154">
        <f t="shared" si="5"/>
        <v>1757.2</v>
      </c>
      <c r="W29" s="154">
        <f>AQ29*C29</f>
        <v>530</v>
      </c>
      <c r="X29" s="278">
        <v>1</v>
      </c>
      <c r="Y29" s="24">
        <v>30</v>
      </c>
      <c r="Z29" s="48">
        <f t="shared" si="30"/>
        <v>30</v>
      </c>
      <c r="AA29" s="54">
        <v>2</v>
      </c>
      <c r="AB29" s="24">
        <v>15</v>
      </c>
      <c r="AC29" s="48">
        <f t="shared" si="31"/>
        <v>30</v>
      </c>
      <c r="AD29" s="54"/>
      <c r="AE29" s="24">
        <v>30</v>
      </c>
      <c r="AF29" s="48">
        <f t="shared" si="32"/>
        <v>0</v>
      </c>
      <c r="AG29" s="278">
        <f t="shared" si="0"/>
        <v>18</v>
      </c>
      <c r="AH29" s="48">
        <f t="shared" ref="AH29:AH41" si="33">Z29+AC29+AF29+AG29</f>
        <v>78</v>
      </c>
      <c r="AI29" s="34">
        <f t="shared" si="2"/>
        <v>73216.7</v>
      </c>
      <c r="AJ29" s="34"/>
      <c r="AK29" s="216">
        <f t="shared" si="3"/>
        <v>878.6</v>
      </c>
      <c r="AL29" s="216">
        <f t="shared" si="6"/>
        <v>277.39999999999998</v>
      </c>
      <c r="AM29" s="217">
        <v>0.30199999999999999</v>
      </c>
      <c r="AN29" s="221">
        <f>AK29*0.22</f>
        <v>193.3</v>
      </c>
      <c r="AO29" s="50">
        <f>865*0.029</f>
        <v>25.1</v>
      </c>
      <c r="AP29" s="50">
        <f>AK29*0.053</f>
        <v>46.6</v>
      </c>
      <c r="AQ29" s="50">
        <f t="shared" si="7"/>
        <v>265</v>
      </c>
      <c r="AS29" s="66"/>
    </row>
    <row r="30" spans="1:45" x14ac:dyDescent="0.25">
      <c r="A30" s="278">
        <v>23</v>
      </c>
      <c r="B30" s="218" t="s">
        <v>55</v>
      </c>
      <c r="C30" s="54">
        <v>1</v>
      </c>
      <c r="D30" s="213">
        <v>8.4730000000000008</v>
      </c>
      <c r="E30" s="171">
        <f t="shared" si="29"/>
        <v>8.4700000000000006</v>
      </c>
      <c r="F30" s="154">
        <f t="shared" si="21"/>
        <v>101.6</v>
      </c>
      <c r="G30" s="154"/>
      <c r="H30" s="154">
        <v>2.1</v>
      </c>
      <c r="I30" s="154"/>
      <c r="J30" s="154">
        <f>F30*0.1</f>
        <v>10.199999999999999</v>
      </c>
      <c r="K30" s="154">
        <f>D30*0.3*12</f>
        <v>30.5</v>
      </c>
      <c r="L30" s="154">
        <f t="shared" si="4"/>
        <v>34.4</v>
      </c>
      <c r="M30" s="154">
        <f t="shared" si="22"/>
        <v>178.8</v>
      </c>
      <c r="N30" s="171">
        <v>0.41</v>
      </c>
      <c r="O30" s="154">
        <f t="shared" si="23"/>
        <v>73.3</v>
      </c>
      <c r="P30" s="154">
        <f t="shared" si="24"/>
        <v>252.1</v>
      </c>
      <c r="Q30" s="154">
        <f t="shared" si="25"/>
        <v>201.7</v>
      </c>
      <c r="R30" s="154">
        <f t="shared" si="26"/>
        <v>201.7</v>
      </c>
      <c r="S30" s="154">
        <f t="shared" si="27"/>
        <v>21</v>
      </c>
      <c r="T30" s="154">
        <f t="shared" si="28"/>
        <v>676.5</v>
      </c>
      <c r="U30" s="1532"/>
      <c r="V30" s="154">
        <f t="shared" si="5"/>
        <v>676.5</v>
      </c>
      <c r="W30" s="154">
        <f t="shared" si="20"/>
        <v>204.3</v>
      </c>
      <c r="X30" s="278">
        <v>1</v>
      </c>
      <c r="Y30" s="24">
        <v>30</v>
      </c>
      <c r="Z30" s="48">
        <f t="shared" si="30"/>
        <v>30</v>
      </c>
      <c r="AA30" s="54">
        <v>1</v>
      </c>
      <c r="AB30" s="24">
        <v>15</v>
      </c>
      <c r="AC30" s="48">
        <f t="shared" si="31"/>
        <v>15</v>
      </c>
      <c r="AD30" s="54">
        <v>1</v>
      </c>
      <c r="AE30" s="24">
        <v>30</v>
      </c>
      <c r="AF30" s="48">
        <f t="shared" si="32"/>
        <v>30</v>
      </c>
      <c r="AG30" s="278">
        <f t="shared" si="0"/>
        <v>22.5</v>
      </c>
      <c r="AH30" s="48">
        <f t="shared" si="33"/>
        <v>97.5</v>
      </c>
      <c r="AI30" s="34">
        <f t="shared" si="2"/>
        <v>56375</v>
      </c>
      <c r="AJ30" s="34"/>
      <c r="AK30" s="216">
        <f t="shared" si="3"/>
        <v>676.5</v>
      </c>
      <c r="AL30" s="216">
        <f t="shared" si="6"/>
        <v>240.6</v>
      </c>
      <c r="AM30" s="217">
        <f>AL30/AK30</f>
        <v>0.35599999999999998</v>
      </c>
      <c r="AN30" s="222"/>
      <c r="AO30" s="50"/>
      <c r="AP30" s="50"/>
      <c r="AQ30" s="50">
        <f t="shared" si="7"/>
        <v>0</v>
      </c>
      <c r="AS30" s="66"/>
    </row>
    <row r="31" spans="1:45" x14ac:dyDescent="0.25">
      <c r="A31" s="278">
        <v>24</v>
      </c>
      <c r="B31" s="218" t="s">
        <v>29</v>
      </c>
      <c r="C31" s="54">
        <v>3</v>
      </c>
      <c r="D31" s="213">
        <v>8.4730000000000008</v>
      </c>
      <c r="E31" s="171">
        <f t="shared" si="29"/>
        <v>25.42</v>
      </c>
      <c r="F31" s="154">
        <f t="shared" si="21"/>
        <v>305</v>
      </c>
      <c r="G31" s="154"/>
      <c r="H31" s="154">
        <v>61.7</v>
      </c>
      <c r="I31" s="154"/>
      <c r="J31" s="154"/>
      <c r="K31" s="154">
        <f>D31*0.3*12+D31*0.05*2</f>
        <v>31.4</v>
      </c>
      <c r="L31" s="154">
        <f t="shared" si="4"/>
        <v>103.2</v>
      </c>
      <c r="M31" s="154">
        <f t="shared" si="22"/>
        <v>501.3</v>
      </c>
      <c r="N31" s="171">
        <v>0.41</v>
      </c>
      <c r="O31" s="154">
        <f t="shared" si="23"/>
        <v>205.5</v>
      </c>
      <c r="P31" s="154">
        <f t="shared" si="24"/>
        <v>706.8</v>
      </c>
      <c r="Q31" s="154">
        <f t="shared" si="25"/>
        <v>565.4</v>
      </c>
      <c r="R31" s="154">
        <f t="shared" si="26"/>
        <v>565.4</v>
      </c>
      <c r="S31" s="154">
        <f t="shared" si="27"/>
        <v>58.8</v>
      </c>
      <c r="T31" s="154">
        <f t="shared" si="28"/>
        <v>1896.4</v>
      </c>
      <c r="U31" s="1532"/>
      <c r="V31" s="154">
        <f t="shared" si="5"/>
        <v>1896.4</v>
      </c>
      <c r="W31" s="154">
        <f t="shared" si="20"/>
        <v>572.70000000000005</v>
      </c>
      <c r="X31" s="278">
        <v>1</v>
      </c>
      <c r="Y31" s="24">
        <v>30</v>
      </c>
      <c r="Z31" s="48">
        <f t="shared" si="30"/>
        <v>30</v>
      </c>
      <c r="AA31" s="54">
        <v>3</v>
      </c>
      <c r="AB31" s="24">
        <v>15</v>
      </c>
      <c r="AC31" s="48">
        <f t="shared" si="31"/>
        <v>45</v>
      </c>
      <c r="AD31" s="54"/>
      <c r="AE31" s="24">
        <v>30</v>
      </c>
      <c r="AF31" s="48">
        <f t="shared" si="32"/>
        <v>0</v>
      </c>
      <c r="AG31" s="278">
        <f t="shared" si="0"/>
        <v>22.5</v>
      </c>
      <c r="AH31" s="48">
        <f t="shared" si="33"/>
        <v>97.5</v>
      </c>
      <c r="AI31" s="34">
        <f t="shared" si="2"/>
        <v>52677.8</v>
      </c>
      <c r="AJ31" s="34"/>
      <c r="AK31" s="216">
        <f t="shared" si="3"/>
        <v>632.1</v>
      </c>
      <c r="AL31" s="216">
        <f t="shared" si="6"/>
        <v>232.5</v>
      </c>
      <c r="AM31" s="217">
        <v>0.30199999999999999</v>
      </c>
      <c r="AN31" s="223"/>
      <c r="AO31" s="62"/>
      <c r="AP31" s="62"/>
      <c r="AQ31" s="50">
        <f t="shared" si="7"/>
        <v>0</v>
      </c>
      <c r="AS31" s="66"/>
    </row>
    <row r="32" spans="1:45" ht="13.5" customHeight="1" x14ac:dyDescent="0.25">
      <c r="A32" s="278">
        <v>25</v>
      </c>
      <c r="B32" s="218" t="s">
        <v>42</v>
      </c>
      <c r="C32" s="54">
        <v>1</v>
      </c>
      <c r="D32" s="177">
        <v>11.061999999999999</v>
      </c>
      <c r="E32" s="171">
        <f t="shared" si="29"/>
        <v>11.06</v>
      </c>
      <c r="F32" s="154">
        <f t="shared" si="21"/>
        <v>132.69999999999999</v>
      </c>
      <c r="G32" s="154"/>
      <c r="H32" s="154">
        <v>4.8</v>
      </c>
      <c r="I32" s="154"/>
      <c r="J32" s="154">
        <f>F32*0.1</f>
        <v>13.3</v>
      </c>
      <c r="K32" s="154">
        <f>D32*0.25*12</f>
        <v>33.200000000000003</v>
      </c>
      <c r="L32" s="154">
        <f t="shared" si="4"/>
        <v>44.9</v>
      </c>
      <c r="M32" s="154">
        <f t="shared" si="22"/>
        <v>228.9</v>
      </c>
      <c r="N32" s="171">
        <v>0.43</v>
      </c>
      <c r="O32" s="154">
        <f t="shared" si="23"/>
        <v>98.4</v>
      </c>
      <c r="P32" s="154">
        <f t="shared" si="24"/>
        <v>327.3</v>
      </c>
      <c r="Q32" s="154">
        <f t="shared" si="25"/>
        <v>261.8</v>
      </c>
      <c r="R32" s="154">
        <f t="shared" si="26"/>
        <v>261.8</v>
      </c>
      <c r="S32" s="154">
        <f t="shared" si="27"/>
        <v>27.2</v>
      </c>
      <c r="T32" s="154">
        <f t="shared" si="28"/>
        <v>878.1</v>
      </c>
      <c r="U32" s="1532"/>
      <c r="V32" s="154">
        <f t="shared" si="5"/>
        <v>878.1</v>
      </c>
      <c r="W32" s="154">
        <f>AQ32</f>
        <v>264.8</v>
      </c>
      <c r="X32" s="278"/>
      <c r="Y32" s="24">
        <v>30</v>
      </c>
      <c r="Z32" s="48">
        <f t="shared" si="30"/>
        <v>0</v>
      </c>
      <c r="AA32" s="54"/>
      <c r="AB32" s="24">
        <v>15</v>
      </c>
      <c r="AC32" s="48">
        <f t="shared" si="31"/>
        <v>0</v>
      </c>
      <c r="AD32" s="54"/>
      <c r="AE32" s="24">
        <v>30</v>
      </c>
      <c r="AF32" s="48">
        <f t="shared" si="32"/>
        <v>0</v>
      </c>
      <c r="AG32" s="278">
        <f t="shared" si="0"/>
        <v>0</v>
      </c>
      <c r="AH32" s="48">
        <f t="shared" si="33"/>
        <v>0</v>
      </c>
      <c r="AI32" s="34">
        <f t="shared" si="2"/>
        <v>73175</v>
      </c>
      <c r="AJ32" s="34"/>
      <c r="AK32" s="216">
        <f t="shared" si="3"/>
        <v>878.1</v>
      </c>
      <c r="AL32" s="216">
        <f t="shared" si="6"/>
        <v>277.3</v>
      </c>
      <c r="AM32" s="217">
        <v>0.30199999999999999</v>
      </c>
      <c r="AN32" s="221">
        <f>AK32*0.22</f>
        <v>193.2</v>
      </c>
      <c r="AO32" s="50">
        <f>865*0.029</f>
        <v>25.1</v>
      </c>
      <c r="AP32" s="50">
        <f>AK32*0.053</f>
        <v>46.5</v>
      </c>
      <c r="AQ32" s="50">
        <f>SUM(AN32:AP32)</f>
        <v>264.8</v>
      </c>
      <c r="AS32" s="66"/>
    </row>
    <row r="33" spans="1:45" ht="26.4" x14ac:dyDescent="0.25">
      <c r="A33" s="278">
        <v>26</v>
      </c>
      <c r="B33" s="218" t="s">
        <v>108</v>
      </c>
      <c r="C33" s="54">
        <v>4</v>
      </c>
      <c r="D33" s="177">
        <v>8.4730000000000008</v>
      </c>
      <c r="E33" s="171">
        <f t="shared" si="29"/>
        <v>33.89</v>
      </c>
      <c r="F33" s="154">
        <f t="shared" si="21"/>
        <v>406.7</v>
      </c>
      <c r="G33" s="154"/>
      <c r="H33" s="154">
        <v>1.2</v>
      </c>
      <c r="I33" s="154"/>
      <c r="J33" s="154"/>
      <c r="K33" s="154">
        <f>D33*0.4*12+D33*0.35*12</f>
        <v>76.3</v>
      </c>
      <c r="L33" s="154">
        <f t="shared" si="4"/>
        <v>137.6</v>
      </c>
      <c r="M33" s="154">
        <f t="shared" si="22"/>
        <v>621.79999999999995</v>
      </c>
      <c r="N33" s="171">
        <v>0.47</v>
      </c>
      <c r="O33" s="154">
        <f t="shared" si="23"/>
        <v>292.2</v>
      </c>
      <c r="P33" s="154">
        <f t="shared" si="24"/>
        <v>914</v>
      </c>
      <c r="Q33" s="154">
        <f t="shared" si="25"/>
        <v>731.2</v>
      </c>
      <c r="R33" s="154">
        <f t="shared" si="26"/>
        <v>731.2</v>
      </c>
      <c r="S33" s="154">
        <f t="shared" si="27"/>
        <v>76</v>
      </c>
      <c r="T33" s="154">
        <f t="shared" si="28"/>
        <v>2452.4</v>
      </c>
      <c r="U33" s="1532"/>
      <c r="V33" s="154">
        <f t="shared" si="5"/>
        <v>2452.4</v>
      </c>
      <c r="W33" s="154">
        <f t="shared" si="20"/>
        <v>740.6</v>
      </c>
      <c r="X33" s="278">
        <v>1</v>
      </c>
      <c r="Y33" s="24">
        <v>30</v>
      </c>
      <c r="Z33" s="48">
        <f t="shared" si="30"/>
        <v>30</v>
      </c>
      <c r="AA33" s="54">
        <v>1</v>
      </c>
      <c r="AB33" s="24">
        <v>15</v>
      </c>
      <c r="AC33" s="48">
        <f t="shared" si="31"/>
        <v>15</v>
      </c>
      <c r="AD33" s="54"/>
      <c r="AE33" s="24">
        <v>30</v>
      </c>
      <c r="AF33" s="48">
        <f t="shared" si="32"/>
        <v>0</v>
      </c>
      <c r="AG33" s="278">
        <f t="shared" si="0"/>
        <v>13.5</v>
      </c>
      <c r="AH33" s="48">
        <f t="shared" si="33"/>
        <v>58.5</v>
      </c>
      <c r="AI33" s="34">
        <f t="shared" si="2"/>
        <v>51091.7</v>
      </c>
      <c r="AJ33" s="34"/>
      <c r="AK33" s="216">
        <f t="shared" si="3"/>
        <v>613.1</v>
      </c>
      <c r="AL33" s="216">
        <f t="shared" si="6"/>
        <v>229.1</v>
      </c>
      <c r="AM33" s="217">
        <v>0.30199999999999999</v>
      </c>
      <c r="AN33" s="223"/>
      <c r="AO33" s="62"/>
      <c r="AP33" s="62"/>
      <c r="AQ33" s="50">
        <f t="shared" si="7"/>
        <v>0</v>
      </c>
      <c r="AS33" s="66"/>
    </row>
    <row r="34" spans="1:45" ht="13.5" customHeight="1" x14ac:dyDescent="0.25">
      <c r="A34" s="278">
        <v>27</v>
      </c>
      <c r="B34" s="218" t="s">
        <v>56</v>
      </c>
      <c r="C34" s="57">
        <v>2</v>
      </c>
      <c r="D34" s="177">
        <v>11.061999999999999</v>
      </c>
      <c r="E34" s="171">
        <f t="shared" si="29"/>
        <v>22.12</v>
      </c>
      <c r="F34" s="154">
        <f t="shared" si="21"/>
        <v>265.39999999999998</v>
      </c>
      <c r="G34" s="154"/>
      <c r="H34" s="154">
        <v>1.1000000000000001</v>
      </c>
      <c r="I34" s="154"/>
      <c r="J34" s="154">
        <f>D34*0.1*2*12</f>
        <v>26.5</v>
      </c>
      <c r="K34" s="154">
        <f>D34*0.4*12+D34*0.25*12</f>
        <v>86.3</v>
      </c>
      <c r="L34" s="154">
        <f t="shared" si="4"/>
        <v>89.8</v>
      </c>
      <c r="M34" s="154">
        <f t="shared" si="22"/>
        <v>469.1</v>
      </c>
      <c r="N34" s="171">
        <v>0.43</v>
      </c>
      <c r="O34" s="154">
        <f t="shared" si="23"/>
        <v>201.7</v>
      </c>
      <c r="P34" s="154">
        <f t="shared" si="24"/>
        <v>670.8</v>
      </c>
      <c r="Q34" s="154">
        <f t="shared" si="25"/>
        <v>536.6</v>
      </c>
      <c r="R34" s="154">
        <f t="shared" si="26"/>
        <v>536.6</v>
      </c>
      <c r="S34" s="154">
        <f t="shared" si="27"/>
        <v>55.8</v>
      </c>
      <c r="T34" s="154">
        <f t="shared" si="28"/>
        <v>1799.8</v>
      </c>
      <c r="U34" s="1532"/>
      <c r="V34" s="154">
        <f t="shared" si="5"/>
        <v>1799.8</v>
      </c>
      <c r="W34" s="154">
        <f>AQ34*C34</f>
        <v>541.6</v>
      </c>
      <c r="X34" s="278">
        <v>2</v>
      </c>
      <c r="Y34" s="24">
        <v>30</v>
      </c>
      <c r="Z34" s="48">
        <f t="shared" si="30"/>
        <v>60</v>
      </c>
      <c r="AA34" s="54">
        <v>2</v>
      </c>
      <c r="AB34" s="24">
        <v>15</v>
      </c>
      <c r="AC34" s="48">
        <f t="shared" si="31"/>
        <v>30</v>
      </c>
      <c r="AD34" s="54"/>
      <c r="AE34" s="24">
        <v>30</v>
      </c>
      <c r="AF34" s="48">
        <f t="shared" si="32"/>
        <v>0</v>
      </c>
      <c r="AG34" s="278">
        <f t="shared" si="0"/>
        <v>27</v>
      </c>
      <c r="AH34" s="48">
        <f t="shared" si="33"/>
        <v>117</v>
      </c>
      <c r="AI34" s="34">
        <f t="shared" si="2"/>
        <v>74991.7</v>
      </c>
      <c r="AJ34" s="34"/>
      <c r="AK34" s="216">
        <f t="shared" si="3"/>
        <v>899.9</v>
      </c>
      <c r="AL34" s="216">
        <f t="shared" si="6"/>
        <v>281.3</v>
      </c>
      <c r="AM34" s="217">
        <v>0.30199999999999999</v>
      </c>
      <c r="AN34" s="221">
        <f>AK34*0.22</f>
        <v>198</v>
      </c>
      <c r="AO34" s="50">
        <f>865*0.029</f>
        <v>25.1</v>
      </c>
      <c r="AP34" s="50">
        <f>AK34*0.053</f>
        <v>47.7</v>
      </c>
      <c r="AQ34" s="50">
        <f>SUM(AN34:AP34)</f>
        <v>270.8</v>
      </c>
      <c r="AS34" s="66"/>
    </row>
    <row r="35" spans="1:45" x14ac:dyDescent="0.25">
      <c r="A35" s="278">
        <v>28</v>
      </c>
      <c r="B35" s="218" t="s">
        <v>101</v>
      </c>
      <c r="C35" s="57">
        <v>1</v>
      </c>
      <c r="D35" s="177">
        <v>11.061999999999999</v>
      </c>
      <c r="E35" s="171">
        <f>C35*D35</f>
        <v>11.06</v>
      </c>
      <c r="F35" s="154">
        <f t="shared" si="21"/>
        <v>132.69999999999999</v>
      </c>
      <c r="G35" s="154"/>
      <c r="H35" s="154">
        <v>4.8</v>
      </c>
      <c r="I35" s="154"/>
      <c r="J35" s="154"/>
      <c r="K35" s="154">
        <f>D35*0.25*12</f>
        <v>33.200000000000003</v>
      </c>
      <c r="L35" s="154">
        <f t="shared" si="4"/>
        <v>44.9</v>
      </c>
      <c r="M35" s="154">
        <f t="shared" si="22"/>
        <v>215.6</v>
      </c>
      <c r="N35" s="171">
        <v>0.43</v>
      </c>
      <c r="O35" s="154">
        <f t="shared" si="23"/>
        <v>92.7</v>
      </c>
      <c r="P35" s="154">
        <f t="shared" si="24"/>
        <v>308.3</v>
      </c>
      <c r="Q35" s="154">
        <f t="shared" si="25"/>
        <v>246.6</v>
      </c>
      <c r="R35" s="154">
        <f t="shared" si="26"/>
        <v>246.6</v>
      </c>
      <c r="S35" s="154">
        <f t="shared" si="27"/>
        <v>25.6</v>
      </c>
      <c r="T35" s="154">
        <f t="shared" si="28"/>
        <v>827.1</v>
      </c>
      <c r="U35" s="1532"/>
      <c r="V35" s="154">
        <f t="shared" si="5"/>
        <v>827.1</v>
      </c>
      <c r="W35" s="154">
        <f t="shared" si="20"/>
        <v>249.8</v>
      </c>
      <c r="X35" s="278">
        <v>1</v>
      </c>
      <c r="Y35" s="24">
        <v>30</v>
      </c>
      <c r="Z35" s="48">
        <f t="shared" si="30"/>
        <v>30</v>
      </c>
      <c r="AA35" s="54"/>
      <c r="AB35" s="24">
        <v>15</v>
      </c>
      <c r="AC35" s="48">
        <f t="shared" si="31"/>
        <v>0</v>
      </c>
      <c r="AD35" s="54"/>
      <c r="AE35" s="24">
        <v>30</v>
      </c>
      <c r="AF35" s="48">
        <f t="shared" si="32"/>
        <v>0</v>
      </c>
      <c r="AG35" s="278">
        <f t="shared" si="0"/>
        <v>9</v>
      </c>
      <c r="AH35" s="48">
        <f t="shared" si="33"/>
        <v>39</v>
      </c>
      <c r="AI35" s="34">
        <f t="shared" si="2"/>
        <v>68925</v>
      </c>
      <c r="AJ35" s="34"/>
      <c r="AK35" s="216">
        <f t="shared" si="3"/>
        <v>827.1</v>
      </c>
      <c r="AL35" s="216">
        <f t="shared" si="6"/>
        <v>268</v>
      </c>
      <c r="AM35" s="217">
        <v>0.30199999999999999</v>
      </c>
      <c r="AN35" s="62"/>
      <c r="AO35" s="62"/>
      <c r="AP35" s="62"/>
      <c r="AQ35" s="50">
        <f t="shared" si="7"/>
        <v>0</v>
      </c>
      <c r="AS35" s="66"/>
    </row>
    <row r="36" spans="1:45" x14ac:dyDescent="0.25">
      <c r="A36" s="278">
        <v>29</v>
      </c>
      <c r="B36" s="218" t="s">
        <v>33</v>
      </c>
      <c r="C36" s="57">
        <v>1</v>
      </c>
      <c r="D36" s="177">
        <v>8.4730000000000008</v>
      </c>
      <c r="E36" s="171">
        <f>C36*D36</f>
        <v>8.4700000000000006</v>
      </c>
      <c r="F36" s="154">
        <f t="shared" si="21"/>
        <v>101.6</v>
      </c>
      <c r="G36" s="154"/>
      <c r="H36" s="154">
        <v>2.9</v>
      </c>
      <c r="I36" s="154"/>
      <c r="J36" s="154"/>
      <c r="K36" s="154"/>
      <c r="L36" s="154">
        <f t="shared" si="4"/>
        <v>34.4</v>
      </c>
      <c r="M36" s="154">
        <f t="shared" si="22"/>
        <v>138.9</v>
      </c>
      <c r="N36" s="171">
        <v>0.41</v>
      </c>
      <c r="O36" s="154">
        <f t="shared" si="23"/>
        <v>56.9</v>
      </c>
      <c r="P36" s="154">
        <f t="shared" si="24"/>
        <v>195.8</v>
      </c>
      <c r="Q36" s="154">
        <f t="shared" si="25"/>
        <v>156.6</v>
      </c>
      <c r="R36" s="154">
        <f t="shared" si="26"/>
        <v>156.6</v>
      </c>
      <c r="S36" s="154">
        <f t="shared" si="27"/>
        <v>16.3</v>
      </c>
      <c r="T36" s="154">
        <f t="shared" si="28"/>
        <v>525.29999999999995</v>
      </c>
      <c r="U36" s="1532"/>
      <c r="V36" s="154">
        <f t="shared" si="5"/>
        <v>525.29999999999995</v>
      </c>
      <c r="W36" s="154">
        <f t="shared" si="20"/>
        <v>158.6</v>
      </c>
      <c r="X36" s="278"/>
      <c r="Y36" s="24">
        <v>30</v>
      </c>
      <c r="Z36" s="48">
        <f t="shared" si="30"/>
        <v>0</v>
      </c>
      <c r="AA36" s="54"/>
      <c r="AB36" s="24">
        <v>15</v>
      </c>
      <c r="AC36" s="48">
        <f t="shared" si="31"/>
        <v>0</v>
      </c>
      <c r="AD36" s="54"/>
      <c r="AE36" s="24">
        <v>30</v>
      </c>
      <c r="AF36" s="48">
        <f t="shared" si="32"/>
        <v>0</v>
      </c>
      <c r="AG36" s="278">
        <f t="shared" si="0"/>
        <v>0</v>
      </c>
      <c r="AH36" s="48">
        <f t="shared" si="33"/>
        <v>0</v>
      </c>
      <c r="AI36" s="34">
        <f t="shared" si="2"/>
        <v>43775</v>
      </c>
      <c r="AJ36" s="34"/>
      <c r="AK36" s="216">
        <f t="shared" si="3"/>
        <v>525.29999999999995</v>
      </c>
      <c r="AL36" s="216">
        <f t="shared" si="6"/>
        <v>213.1</v>
      </c>
      <c r="AM36" s="217">
        <v>0.30199999999999999</v>
      </c>
      <c r="AN36" s="76"/>
      <c r="AO36" s="76"/>
      <c r="AP36" s="76"/>
      <c r="AQ36" s="50">
        <f t="shared" si="7"/>
        <v>0</v>
      </c>
      <c r="AS36" s="66"/>
    </row>
    <row r="37" spans="1:45" ht="26.4" x14ac:dyDescent="0.25">
      <c r="A37" s="278">
        <v>30</v>
      </c>
      <c r="B37" s="218" t="s">
        <v>130</v>
      </c>
      <c r="C37" s="57">
        <v>1</v>
      </c>
      <c r="D37" s="177">
        <v>8.4730000000000008</v>
      </c>
      <c r="E37" s="171">
        <f>C37*D37</f>
        <v>8.4700000000000006</v>
      </c>
      <c r="F37" s="154">
        <f>E37*12</f>
        <v>101.6</v>
      </c>
      <c r="G37" s="154"/>
      <c r="H37" s="154"/>
      <c r="I37" s="154"/>
      <c r="J37" s="154"/>
      <c r="K37" s="154"/>
      <c r="L37" s="154">
        <f t="shared" si="4"/>
        <v>34.4</v>
      </c>
      <c r="M37" s="154">
        <f t="shared" si="22"/>
        <v>136</v>
      </c>
      <c r="N37" s="171">
        <v>0.47</v>
      </c>
      <c r="O37" s="154">
        <f t="shared" si="23"/>
        <v>63.9</v>
      </c>
      <c r="P37" s="154">
        <f t="shared" si="24"/>
        <v>199.9</v>
      </c>
      <c r="Q37" s="154">
        <f t="shared" si="25"/>
        <v>159.9</v>
      </c>
      <c r="R37" s="154">
        <f t="shared" si="26"/>
        <v>159.9</v>
      </c>
      <c r="S37" s="154">
        <f t="shared" si="27"/>
        <v>16.600000000000001</v>
      </c>
      <c r="T37" s="154">
        <f t="shared" si="28"/>
        <v>536.29999999999995</v>
      </c>
      <c r="U37" s="1532"/>
      <c r="V37" s="154">
        <f t="shared" si="5"/>
        <v>536.29999999999995</v>
      </c>
      <c r="W37" s="154">
        <f t="shared" si="20"/>
        <v>162</v>
      </c>
      <c r="X37" s="278"/>
      <c r="Y37" s="24">
        <v>30</v>
      </c>
      <c r="Z37" s="48">
        <f t="shared" si="30"/>
        <v>0</v>
      </c>
      <c r="AA37" s="54"/>
      <c r="AB37" s="24">
        <v>15</v>
      </c>
      <c r="AC37" s="48">
        <f t="shared" si="31"/>
        <v>0</v>
      </c>
      <c r="AD37" s="54"/>
      <c r="AE37" s="24">
        <v>30</v>
      </c>
      <c r="AF37" s="48">
        <f t="shared" si="32"/>
        <v>0</v>
      </c>
      <c r="AG37" s="278">
        <f t="shared" si="0"/>
        <v>0</v>
      </c>
      <c r="AH37" s="48">
        <f t="shared" si="33"/>
        <v>0</v>
      </c>
      <c r="AI37" s="34">
        <f>V37/11/C37*1000</f>
        <v>48754.5</v>
      </c>
      <c r="AJ37" s="34"/>
      <c r="AK37" s="216">
        <f t="shared" si="3"/>
        <v>536.29999999999995</v>
      </c>
      <c r="AL37" s="216">
        <f t="shared" si="6"/>
        <v>215.1</v>
      </c>
      <c r="AM37" s="217">
        <v>0.30199999999999999</v>
      </c>
      <c r="AN37" s="62"/>
      <c r="AO37" s="62"/>
      <c r="AP37" s="62"/>
      <c r="AQ37" s="50">
        <f t="shared" si="7"/>
        <v>0</v>
      </c>
      <c r="AS37" s="66"/>
    </row>
    <row r="38" spans="1:45" ht="26.4" x14ac:dyDescent="0.25">
      <c r="A38" s="278">
        <v>31</v>
      </c>
      <c r="B38" s="218" t="s">
        <v>109</v>
      </c>
      <c r="C38" s="57">
        <v>1</v>
      </c>
      <c r="D38" s="177">
        <v>4.4569999999999999</v>
      </c>
      <c r="E38" s="171">
        <f t="shared" si="29"/>
        <v>4.46</v>
      </c>
      <c r="F38" s="154">
        <f t="shared" si="21"/>
        <v>53.5</v>
      </c>
      <c r="G38" s="154"/>
      <c r="H38" s="154">
        <v>1.7</v>
      </c>
      <c r="I38" s="154"/>
      <c r="J38" s="154"/>
      <c r="K38" s="154"/>
      <c r="L38" s="154">
        <v>26</v>
      </c>
      <c r="M38" s="154">
        <f t="shared" si="22"/>
        <v>81.2</v>
      </c>
      <c r="N38" s="171">
        <v>0.61</v>
      </c>
      <c r="O38" s="154">
        <f t="shared" si="23"/>
        <v>49.5</v>
      </c>
      <c r="P38" s="154">
        <f t="shared" si="24"/>
        <v>130.69999999999999</v>
      </c>
      <c r="Q38" s="154">
        <f t="shared" si="25"/>
        <v>104.6</v>
      </c>
      <c r="R38" s="154">
        <f t="shared" si="26"/>
        <v>104.6</v>
      </c>
      <c r="S38" s="154">
        <f t="shared" si="27"/>
        <v>10.9</v>
      </c>
      <c r="T38" s="154">
        <f t="shared" si="28"/>
        <v>350.8</v>
      </c>
      <c r="U38" s="1532"/>
      <c r="V38" s="154">
        <f t="shared" si="5"/>
        <v>350.8</v>
      </c>
      <c r="W38" s="154">
        <f t="shared" si="20"/>
        <v>105.9</v>
      </c>
      <c r="X38" s="278">
        <v>1</v>
      </c>
      <c r="Y38" s="24">
        <v>30</v>
      </c>
      <c r="Z38" s="48">
        <f t="shared" si="30"/>
        <v>30</v>
      </c>
      <c r="AA38" s="278">
        <v>1</v>
      </c>
      <c r="AB38" s="24">
        <v>15</v>
      </c>
      <c r="AC38" s="48">
        <f t="shared" si="31"/>
        <v>15</v>
      </c>
      <c r="AD38" s="278"/>
      <c r="AE38" s="24">
        <v>30</v>
      </c>
      <c r="AF38" s="48">
        <f t="shared" si="32"/>
        <v>0</v>
      </c>
      <c r="AG38" s="278">
        <f t="shared" si="0"/>
        <v>13.5</v>
      </c>
      <c r="AH38" s="48">
        <f t="shared" si="33"/>
        <v>58.5</v>
      </c>
      <c r="AI38" s="34">
        <f>V38/12/C38*1000</f>
        <v>29233.3</v>
      </c>
      <c r="AJ38" s="34"/>
      <c r="AK38" s="216">
        <f t="shared" si="3"/>
        <v>350.8</v>
      </c>
      <c r="AL38" s="216">
        <f t="shared" si="6"/>
        <v>181.3</v>
      </c>
      <c r="AM38" s="217">
        <v>0.30199999999999999</v>
      </c>
      <c r="AN38" s="76"/>
      <c r="AO38" s="76"/>
      <c r="AP38" s="76"/>
      <c r="AQ38" s="50">
        <f t="shared" si="7"/>
        <v>0</v>
      </c>
      <c r="AS38" s="66"/>
    </row>
    <row r="39" spans="1:45" ht="15.75" customHeight="1" x14ac:dyDescent="0.25">
      <c r="A39" s="278">
        <v>32</v>
      </c>
      <c r="B39" s="218" t="s">
        <v>57</v>
      </c>
      <c r="C39" s="49">
        <f>2-0.5</f>
        <v>1.5</v>
      </c>
      <c r="D39" s="177">
        <v>4.3769999999999998</v>
      </c>
      <c r="E39" s="171">
        <f t="shared" si="29"/>
        <v>6.57</v>
      </c>
      <c r="F39" s="215">
        <f t="shared" si="21"/>
        <v>78.8</v>
      </c>
      <c r="G39" s="154"/>
      <c r="H39" s="154">
        <v>1.4</v>
      </c>
      <c r="I39" s="154"/>
      <c r="J39" s="154"/>
      <c r="K39" s="154"/>
      <c r="L39" s="154">
        <v>70</v>
      </c>
      <c r="M39" s="154">
        <f t="shared" si="22"/>
        <v>150.19999999999999</v>
      </c>
      <c r="N39" s="171">
        <v>0.49</v>
      </c>
      <c r="O39" s="154">
        <f t="shared" si="23"/>
        <v>73.599999999999994</v>
      </c>
      <c r="P39" s="154">
        <f t="shared" si="24"/>
        <v>223.8</v>
      </c>
      <c r="Q39" s="154">
        <f t="shared" si="25"/>
        <v>179</v>
      </c>
      <c r="R39" s="154">
        <f t="shared" si="26"/>
        <v>179</v>
      </c>
      <c r="S39" s="154">
        <f t="shared" si="27"/>
        <v>18.600000000000001</v>
      </c>
      <c r="T39" s="154">
        <f t="shared" si="28"/>
        <v>600.4</v>
      </c>
      <c r="U39" s="1532"/>
      <c r="V39" s="154">
        <f t="shared" si="5"/>
        <v>600.4</v>
      </c>
      <c r="W39" s="154">
        <f t="shared" si="20"/>
        <v>181.3</v>
      </c>
      <c r="X39" s="278"/>
      <c r="Y39" s="24">
        <v>30</v>
      </c>
      <c r="Z39" s="48">
        <f>X39*Y39</f>
        <v>0</v>
      </c>
      <c r="AA39" s="278"/>
      <c r="AB39" s="24">
        <v>15</v>
      </c>
      <c r="AC39" s="48">
        <f>AA39*AB39</f>
        <v>0</v>
      </c>
      <c r="AD39" s="278"/>
      <c r="AE39" s="24">
        <v>30</v>
      </c>
      <c r="AF39" s="48">
        <f t="shared" si="32"/>
        <v>0</v>
      </c>
      <c r="AG39" s="278">
        <f t="shared" si="0"/>
        <v>0</v>
      </c>
      <c r="AH39" s="48">
        <f t="shared" si="33"/>
        <v>0</v>
      </c>
      <c r="AI39" s="34">
        <f>V39/12/C39*1000</f>
        <v>33355.599999999999</v>
      </c>
      <c r="AJ39" s="34"/>
      <c r="AK39" s="216">
        <f t="shared" si="3"/>
        <v>400.3</v>
      </c>
      <c r="AL39" s="216">
        <f t="shared" si="6"/>
        <v>190.3</v>
      </c>
      <c r="AM39" s="217">
        <v>0.30199999999999999</v>
      </c>
      <c r="AN39" s="76"/>
      <c r="AO39" s="76"/>
      <c r="AP39" s="76"/>
      <c r="AQ39" s="50">
        <f t="shared" si="7"/>
        <v>0</v>
      </c>
      <c r="AS39" s="66"/>
    </row>
    <row r="40" spans="1:45" x14ac:dyDescent="0.25">
      <c r="A40" s="278">
        <v>33</v>
      </c>
      <c r="B40" s="218" t="s">
        <v>92</v>
      </c>
      <c r="C40" s="224">
        <v>1</v>
      </c>
      <c r="D40" s="177">
        <v>4.3769999999999998</v>
      </c>
      <c r="E40" s="171">
        <f t="shared" si="29"/>
        <v>4.38</v>
      </c>
      <c r="F40" s="154">
        <f t="shared" si="21"/>
        <v>52.6</v>
      </c>
      <c r="G40" s="154"/>
      <c r="H40" s="154">
        <f>2773.8/1000</f>
        <v>2.8</v>
      </c>
      <c r="I40" s="154"/>
      <c r="J40" s="154"/>
      <c r="K40" s="154"/>
      <c r="L40" s="154">
        <v>38.1</v>
      </c>
      <c r="M40" s="154">
        <f t="shared" si="22"/>
        <v>93.5</v>
      </c>
      <c r="N40" s="171">
        <v>0.47</v>
      </c>
      <c r="O40" s="154">
        <f t="shared" si="23"/>
        <v>43.9</v>
      </c>
      <c r="P40" s="154">
        <f t="shared" si="24"/>
        <v>137.4</v>
      </c>
      <c r="Q40" s="154">
        <f t="shared" si="25"/>
        <v>109.9</v>
      </c>
      <c r="R40" s="154">
        <f t="shared" si="26"/>
        <v>109.9</v>
      </c>
      <c r="S40" s="154">
        <f t="shared" si="27"/>
        <v>11.4</v>
      </c>
      <c r="T40" s="154">
        <f t="shared" si="28"/>
        <v>368.6</v>
      </c>
      <c r="U40" s="1532"/>
      <c r="V40" s="154">
        <f t="shared" si="5"/>
        <v>368.6</v>
      </c>
      <c r="W40" s="154">
        <f t="shared" si="20"/>
        <v>111.3</v>
      </c>
      <c r="X40" s="278">
        <v>1</v>
      </c>
      <c r="Y40" s="24">
        <v>30</v>
      </c>
      <c r="Z40" s="48">
        <f>X40*Y40</f>
        <v>30</v>
      </c>
      <c r="AA40" s="278"/>
      <c r="AB40" s="24">
        <v>15</v>
      </c>
      <c r="AC40" s="48">
        <f>AA40*AB40</f>
        <v>0</v>
      </c>
      <c r="AD40" s="278"/>
      <c r="AE40" s="24">
        <v>30</v>
      </c>
      <c r="AF40" s="48">
        <f t="shared" si="32"/>
        <v>0</v>
      </c>
      <c r="AG40" s="278">
        <f t="shared" si="0"/>
        <v>9</v>
      </c>
      <c r="AH40" s="48">
        <f t="shared" si="33"/>
        <v>39</v>
      </c>
      <c r="AI40" s="34">
        <f>V40/12/C40*1000</f>
        <v>30716.7</v>
      </c>
      <c r="AJ40" s="34"/>
      <c r="AK40" s="216">
        <f t="shared" si="3"/>
        <v>368.6</v>
      </c>
      <c r="AL40" s="216">
        <f t="shared" si="6"/>
        <v>184.6</v>
      </c>
      <c r="AM40" s="217">
        <v>0.30199999999999999</v>
      </c>
      <c r="AN40" s="76"/>
      <c r="AO40" s="76"/>
      <c r="AP40" s="76"/>
      <c r="AQ40" s="50">
        <f t="shared" si="7"/>
        <v>0</v>
      </c>
      <c r="AS40" s="66"/>
    </row>
    <row r="41" spans="1:45" x14ac:dyDescent="0.25">
      <c r="A41" s="278">
        <v>34</v>
      </c>
      <c r="B41" s="218" t="s">
        <v>102</v>
      </c>
      <c r="C41" s="58">
        <v>2</v>
      </c>
      <c r="D41" s="177">
        <v>4.3769999999999998</v>
      </c>
      <c r="E41" s="171">
        <f>C41*D41</f>
        <v>8.75</v>
      </c>
      <c r="F41" s="215">
        <f t="shared" si="21"/>
        <v>105</v>
      </c>
      <c r="G41" s="154"/>
      <c r="H41" s="154">
        <v>3.3</v>
      </c>
      <c r="I41" s="154"/>
      <c r="J41" s="154"/>
      <c r="K41" s="154"/>
      <c r="L41" s="154">
        <v>70</v>
      </c>
      <c r="M41" s="154">
        <f t="shared" si="22"/>
        <v>178.3</v>
      </c>
      <c r="N41" s="171">
        <v>0.49</v>
      </c>
      <c r="O41" s="154">
        <f t="shared" si="23"/>
        <v>87.4</v>
      </c>
      <c r="P41" s="154">
        <f t="shared" si="24"/>
        <v>265.7</v>
      </c>
      <c r="Q41" s="154">
        <f t="shared" si="25"/>
        <v>212.6</v>
      </c>
      <c r="R41" s="154">
        <f t="shared" si="26"/>
        <v>212.6</v>
      </c>
      <c r="S41" s="154">
        <f t="shared" si="27"/>
        <v>22.1</v>
      </c>
      <c r="T41" s="154">
        <f t="shared" si="28"/>
        <v>713</v>
      </c>
      <c r="U41" s="1532"/>
      <c r="V41" s="154">
        <f t="shared" si="5"/>
        <v>713</v>
      </c>
      <c r="W41" s="154">
        <f t="shared" si="20"/>
        <v>215.3</v>
      </c>
      <c r="X41" s="278">
        <v>1</v>
      </c>
      <c r="Y41" s="24">
        <v>30</v>
      </c>
      <c r="Z41" s="48">
        <f>X41*Y41</f>
        <v>30</v>
      </c>
      <c r="AA41" s="278"/>
      <c r="AB41" s="24">
        <v>15</v>
      </c>
      <c r="AC41" s="48">
        <f>AA41*AB41</f>
        <v>0</v>
      </c>
      <c r="AD41" s="278"/>
      <c r="AE41" s="24">
        <v>30</v>
      </c>
      <c r="AF41" s="48">
        <f t="shared" si="32"/>
        <v>0</v>
      </c>
      <c r="AG41" s="278">
        <f t="shared" si="0"/>
        <v>9</v>
      </c>
      <c r="AH41" s="48">
        <f t="shared" si="33"/>
        <v>39</v>
      </c>
      <c r="AI41" s="34">
        <f>V41/12/C41*1000</f>
        <v>29708.3</v>
      </c>
      <c r="AJ41" s="34"/>
      <c r="AK41" s="216">
        <f t="shared" si="3"/>
        <v>356.5</v>
      </c>
      <c r="AL41" s="216">
        <f t="shared" si="6"/>
        <v>182.4</v>
      </c>
      <c r="AM41" s="217">
        <v>0.30199999999999999</v>
      </c>
      <c r="AN41" s="76"/>
      <c r="AO41" s="76"/>
      <c r="AP41" s="76"/>
      <c r="AQ41" s="50">
        <f t="shared" si="7"/>
        <v>0</v>
      </c>
      <c r="AS41" s="66"/>
    </row>
    <row r="42" spans="1:45" x14ac:dyDescent="0.25">
      <c r="A42" s="225" t="s">
        <v>126</v>
      </c>
      <c r="B42" s="218"/>
      <c r="C42" s="58"/>
      <c r="D42" s="177"/>
      <c r="E42" s="171"/>
      <c r="F42" s="215"/>
      <c r="G42" s="154"/>
      <c r="H42" s="154"/>
      <c r="I42" s="154"/>
      <c r="J42" s="154"/>
      <c r="K42" s="154"/>
      <c r="L42" s="154"/>
      <c r="M42" s="154"/>
      <c r="N42" s="171"/>
      <c r="O42" s="154"/>
      <c r="P42" s="154"/>
      <c r="Q42" s="154"/>
      <c r="R42" s="154"/>
      <c r="S42" s="154"/>
      <c r="T42" s="154"/>
      <c r="U42" s="1532"/>
      <c r="V42" s="154"/>
      <c r="W42" s="154">
        <f t="shared" si="20"/>
        <v>0</v>
      </c>
      <c r="X42" s="278"/>
      <c r="Y42" s="24"/>
      <c r="Z42" s="48"/>
      <c r="AA42" s="278"/>
      <c r="AB42" s="24"/>
      <c r="AC42" s="48"/>
      <c r="AD42" s="278"/>
      <c r="AE42" s="24"/>
      <c r="AF42" s="48"/>
      <c r="AG42" s="278">
        <f t="shared" si="0"/>
        <v>0</v>
      </c>
      <c r="AH42" s="48"/>
      <c r="AJ42" s="34"/>
      <c r="AK42" s="216"/>
      <c r="AL42" s="216"/>
      <c r="AM42" s="217"/>
      <c r="AN42" s="76"/>
      <c r="AO42" s="76"/>
      <c r="AP42" s="76"/>
      <c r="AQ42" s="50">
        <f t="shared" si="7"/>
        <v>0</v>
      </c>
      <c r="AS42" s="66"/>
    </row>
    <row r="43" spans="1:45" x14ac:dyDescent="0.25">
      <c r="A43" s="278">
        <v>35</v>
      </c>
      <c r="B43" s="52" t="s">
        <v>17</v>
      </c>
      <c r="C43" s="278">
        <v>1</v>
      </c>
      <c r="D43" s="177">
        <v>12.335000000000001</v>
      </c>
      <c r="E43" s="226">
        <f>C43*D43</f>
        <v>12.34</v>
      </c>
      <c r="F43" s="227">
        <f>E43*12</f>
        <v>148.1</v>
      </c>
      <c r="G43" s="154"/>
      <c r="H43" s="154">
        <v>1.3</v>
      </c>
      <c r="I43" s="154"/>
      <c r="J43" s="154"/>
      <c r="K43" s="154">
        <f>F43*0.4</f>
        <v>59.2</v>
      </c>
      <c r="L43" s="154">
        <f t="shared" si="4"/>
        <v>50.1</v>
      </c>
      <c r="M43" s="154">
        <f>F43+G43+H43+I43+J43+K43+L43</f>
        <v>258.7</v>
      </c>
      <c r="N43" s="171">
        <v>0.47</v>
      </c>
      <c r="O43" s="154">
        <f>M43*N43</f>
        <v>121.6</v>
      </c>
      <c r="P43" s="154">
        <f>M43+O43</f>
        <v>380.3</v>
      </c>
      <c r="Q43" s="154">
        <f>P43*0.8</f>
        <v>304.2</v>
      </c>
      <c r="R43" s="154">
        <f>P43*0.8</f>
        <v>304.2</v>
      </c>
      <c r="S43" s="154">
        <f>(P43+Q43+R43)*0.032</f>
        <v>31.6</v>
      </c>
      <c r="T43" s="154">
        <f>P43+Q43+R43+S43</f>
        <v>1020.3</v>
      </c>
      <c r="U43" s="1532"/>
      <c r="V43" s="154">
        <f t="shared" si="5"/>
        <v>1020.3</v>
      </c>
      <c r="W43" s="154">
        <f>AQ43</f>
        <v>303.7</v>
      </c>
      <c r="X43" s="278">
        <v>1</v>
      </c>
      <c r="Y43" s="24">
        <v>35</v>
      </c>
      <c r="Z43" s="48">
        <f>X43*Y43</f>
        <v>35</v>
      </c>
      <c r="AA43" s="278"/>
      <c r="AB43" s="24">
        <v>17.5</v>
      </c>
      <c r="AC43" s="48">
        <f>AA43*AB43</f>
        <v>0</v>
      </c>
      <c r="AD43" s="278"/>
      <c r="AE43" s="24">
        <v>35</v>
      </c>
      <c r="AF43" s="48">
        <f>AD43*AE43</f>
        <v>0</v>
      </c>
      <c r="AG43" s="278">
        <f t="shared" si="0"/>
        <v>10.5</v>
      </c>
      <c r="AH43" s="48">
        <f>Z43+AC43+AF43+AG43</f>
        <v>45.5</v>
      </c>
      <c r="AI43" s="39">
        <f t="shared" ref="AI43:AI51" si="34">V43/12/C43*1000</f>
        <v>85025</v>
      </c>
      <c r="AJ43" s="34"/>
      <c r="AK43" s="34">
        <f t="shared" ref="AK43:AK51" si="35">V43/C43</f>
        <v>1020.3</v>
      </c>
      <c r="AL43" s="34">
        <f>((979*0.302)+((AK43-979)*0.182))</f>
        <v>303.2</v>
      </c>
      <c r="AM43" s="51">
        <f>AL43/AK43</f>
        <v>0.29699999999999999</v>
      </c>
      <c r="AN43" s="50">
        <f>AK43*0.22</f>
        <v>224.5</v>
      </c>
      <c r="AO43" s="50">
        <f>865*0.029</f>
        <v>25.1</v>
      </c>
      <c r="AP43" s="50">
        <f>AK43*0.053</f>
        <v>54.1</v>
      </c>
      <c r="AQ43" s="50">
        <f t="shared" si="7"/>
        <v>303.7</v>
      </c>
      <c r="AR43" s="51"/>
    </row>
    <row r="44" spans="1:45" x14ac:dyDescent="0.25">
      <c r="A44" s="278">
        <v>36</v>
      </c>
      <c r="B44" s="52" t="s">
        <v>38</v>
      </c>
      <c r="C44" s="167">
        <f>2-0.25</f>
        <v>1.75</v>
      </c>
      <c r="D44" s="177">
        <v>6.2859999999999996</v>
      </c>
      <c r="E44" s="171">
        <f t="shared" ref="E44:E51" si="36">C44*D44</f>
        <v>11</v>
      </c>
      <c r="F44" s="154">
        <f t="shared" ref="F44:F51" si="37">E44*12</f>
        <v>132</v>
      </c>
      <c r="G44" s="154">
        <f>74.5/1000</f>
        <v>0.1</v>
      </c>
      <c r="H44" s="154">
        <v>2</v>
      </c>
      <c r="I44" s="154"/>
      <c r="J44" s="154"/>
      <c r="K44" s="154"/>
      <c r="L44" s="154">
        <f t="shared" si="4"/>
        <v>44.7</v>
      </c>
      <c r="M44" s="154">
        <f t="shared" ref="M44:M51" si="38">F44+G44+H44+I44+J44+K44+L44</f>
        <v>178.8</v>
      </c>
      <c r="N44" s="171">
        <v>0.45</v>
      </c>
      <c r="O44" s="154">
        <f t="shared" ref="O44:O51" si="39">M44*N44</f>
        <v>80.5</v>
      </c>
      <c r="P44" s="154">
        <f t="shared" ref="P44:P51" si="40">M44+O44</f>
        <v>259.3</v>
      </c>
      <c r="Q44" s="154">
        <f t="shared" ref="Q44:Q51" si="41">P44*0.8</f>
        <v>207.4</v>
      </c>
      <c r="R44" s="154">
        <f t="shared" ref="R44:R51" si="42">P44*0.8</f>
        <v>207.4</v>
      </c>
      <c r="S44" s="154">
        <f t="shared" ref="S44:S51" si="43">(P44+Q44+R44)*0.032</f>
        <v>21.6</v>
      </c>
      <c r="T44" s="154">
        <f t="shared" ref="T44:T51" si="44">P44+Q44+R44+S44</f>
        <v>695.7</v>
      </c>
      <c r="U44" s="1532"/>
      <c r="V44" s="154">
        <f t="shared" si="5"/>
        <v>695.7</v>
      </c>
      <c r="W44" s="154">
        <f t="shared" si="20"/>
        <v>210.1</v>
      </c>
      <c r="X44" s="278">
        <v>1</v>
      </c>
      <c r="Y44" s="24">
        <v>35</v>
      </c>
      <c r="Z44" s="48">
        <f t="shared" ref="Z44:Z51" si="45">X44*Y44</f>
        <v>35</v>
      </c>
      <c r="AA44" s="54"/>
      <c r="AB44" s="24">
        <v>17.5</v>
      </c>
      <c r="AC44" s="48">
        <f t="shared" ref="AC44:AC51" si="46">AA44*AB44</f>
        <v>0</v>
      </c>
      <c r="AD44" s="54"/>
      <c r="AE44" s="24">
        <v>35</v>
      </c>
      <c r="AF44" s="48">
        <f t="shared" ref="AF44:AF51" si="47">AD44*AE44</f>
        <v>0</v>
      </c>
      <c r="AG44" s="278">
        <f t="shared" si="0"/>
        <v>10.5</v>
      </c>
      <c r="AH44" s="48">
        <f t="shared" ref="AH44:AH51" si="48">Z44+AC44+AF44+AG44</f>
        <v>45.5</v>
      </c>
      <c r="AI44" s="39">
        <f t="shared" si="34"/>
        <v>33128.57</v>
      </c>
      <c r="AJ44" s="34"/>
      <c r="AK44" s="34">
        <f t="shared" si="35"/>
        <v>397.5</v>
      </c>
      <c r="AL44" s="34">
        <f t="shared" ref="AL44:AL51" si="49">((979*0.302)+((AK44-979)*0.182))</f>
        <v>189.8</v>
      </c>
      <c r="AM44" s="51">
        <v>0.30199999999999999</v>
      </c>
      <c r="AN44" s="50"/>
      <c r="AO44" s="50"/>
      <c r="AP44" s="50"/>
      <c r="AQ44" s="50">
        <f t="shared" si="7"/>
        <v>0</v>
      </c>
      <c r="AR44" s="51"/>
    </row>
    <row r="45" spans="1:45" ht="12" customHeight="1" x14ac:dyDescent="0.25">
      <c r="A45" s="278">
        <v>37</v>
      </c>
      <c r="B45" s="44" t="s">
        <v>104</v>
      </c>
      <c r="C45" s="54">
        <v>1</v>
      </c>
      <c r="D45" s="177">
        <v>8.4730000000000008</v>
      </c>
      <c r="E45" s="171">
        <f t="shared" si="36"/>
        <v>8.4700000000000006</v>
      </c>
      <c r="F45" s="154">
        <f t="shared" si="37"/>
        <v>101.6</v>
      </c>
      <c r="G45" s="154"/>
      <c r="H45" s="154"/>
      <c r="I45" s="154"/>
      <c r="J45" s="154"/>
      <c r="K45" s="154"/>
      <c r="L45" s="154">
        <f t="shared" si="4"/>
        <v>34.4</v>
      </c>
      <c r="M45" s="154">
        <f t="shared" si="38"/>
        <v>136</v>
      </c>
      <c r="N45" s="171">
        <v>0.41</v>
      </c>
      <c r="O45" s="154">
        <f t="shared" si="39"/>
        <v>55.8</v>
      </c>
      <c r="P45" s="154">
        <f t="shared" si="40"/>
        <v>191.8</v>
      </c>
      <c r="Q45" s="154">
        <f t="shared" si="41"/>
        <v>153.4</v>
      </c>
      <c r="R45" s="154">
        <f t="shared" si="42"/>
        <v>153.4</v>
      </c>
      <c r="S45" s="154">
        <f t="shared" si="43"/>
        <v>16</v>
      </c>
      <c r="T45" s="154">
        <f t="shared" si="44"/>
        <v>514.6</v>
      </c>
      <c r="U45" s="1532"/>
      <c r="V45" s="154">
        <f t="shared" si="5"/>
        <v>514.6</v>
      </c>
      <c r="W45" s="154">
        <f t="shared" si="20"/>
        <v>155.4</v>
      </c>
      <c r="X45" s="278">
        <v>1</v>
      </c>
      <c r="Y45" s="24">
        <v>35</v>
      </c>
      <c r="Z45" s="48">
        <f t="shared" si="45"/>
        <v>35</v>
      </c>
      <c r="AA45" s="54"/>
      <c r="AB45" s="24">
        <v>17.5</v>
      </c>
      <c r="AC45" s="48">
        <f t="shared" si="46"/>
        <v>0</v>
      </c>
      <c r="AD45" s="54">
        <v>1</v>
      </c>
      <c r="AE45" s="24">
        <v>35</v>
      </c>
      <c r="AF45" s="48">
        <f t="shared" si="47"/>
        <v>35</v>
      </c>
      <c r="AG45" s="278">
        <f t="shared" si="0"/>
        <v>21</v>
      </c>
      <c r="AH45" s="48">
        <f t="shared" si="48"/>
        <v>91</v>
      </c>
      <c r="AI45" s="39">
        <f t="shared" si="34"/>
        <v>42883.33</v>
      </c>
      <c r="AJ45" s="34"/>
      <c r="AK45" s="34">
        <f t="shared" si="35"/>
        <v>514.6</v>
      </c>
      <c r="AL45" s="34">
        <f t="shared" si="49"/>
        <v>211.1</v>
      </c>
      <c r="AM45" s="51">
        <v>0.30199999999999999</v>
      </c>
      <c r="AN45" s="50"/>
      <c r="AO45" s="50"/>
      <c r="AP45" s="50"/>
      <c r="AQ45" s="50">
        <f t="shared" si="7"/>
        <v>0</v>
      </c>
      <c r="AR45" s="51"/>
    </row>
    <row r="46" spans="1:45" x14ac:dyDescent="0.25">
      <c r="A46" s="278">
        <v>38</v>
      </c>
      <c r="B46" s="52" t="s">
        <v>39</v>
      </c>
      <c r="C46" s="24">
        <v>0.5</v>
      </c>
      <c r="D46" s="177">
        <v>6.2859999999999996</v>
      </c>
      <c r="E46" s="171">
        <f t="shared" si="36"/>
        <v>3.14</v>
      </c>
      <c r="F46" s="154">
        <f t="shared" si="37"/>
        <v>37.700000000000003</v>
      </c>
      <c r="G46" s="154"/>
      <c r="H46" s="154">
        <f>1106.5/1000</f>
        <v>1.1000000000000001</v>
      </c>
      <c r="I46" s="154"/>
      <c r="J46" s="154"/>
      <c r="K46" s="154"/>
      <c r="L46" s="154">
        <f>F46*$L$4</f>
        <v>12.8</v>
      </c>
      <c r="M46" s="154">
        <f t="shared" si="38"/>
        <v>51.6</v>
      </c>
      <c r="N46" s="171">
        <v>0.45</v>
      </c>
      <c r="O46" s="154">
        <f t="shared" si="39"/>
        <v>23.2</v>
      </c>
      <c r="P46" s="154">
        <f t="shared" si="40"/>
        <v>74.8</v>
      </c>
      <c r="Q46" s="154">
        <f t="shared" si="41"/>
        <v>59.8</v>
      </c>
      <c r="R46" s="154">
        <f t="shared" si="42"/>
        <v>59.8</v>
      </c>
      <c r="S46" s="154">
        <f t="shared" si="43"/>
        <v>6.2</v>
      </c>
      <c r="T46" s="154">
        <f t="shared" si="44"/>
        <v>200.6</v>
      </c>
      <c r="U46" s="1532"/>
      <c r="V46" s="154">
        <f t="shared" si="5"/>
        <v>200.6</v>
      </c>
      <c r="W46" s="154">
        <f t="shared" si="20"/>
        <v>60.6</v>
      </c>
      <c r="X46" s="278"/>
      <c r="Y46" s="24">
        <v>35</v>
      </c>
      <c r="Z46" s="48">
        <f t="shared" si="45"/>
        <v>0</v>
      </c>
      <c r="AA46" s="54"/>
      <c r="AB46" s="24">
        <v>17.5</v>
      </c>
      <c r="AC46" s="48">
        <f t="shared" si="46"/>
        <v>0</v>
      </c>
      <c r="AD46" s="54"/>
      <c r="AE46" s="24">
        <v>35</v>
      </c>
      <c r="AF46" s="48">
        <f t="shared" si="47"/>
        <v>0</v>
      </c>
      <c r="AG46" s="278">
        <f t="shared" si="0"/>
        <v>0</v>
      </c>
      <c r="AH46" s="48">
        <f t="shared" si="48"/>
        <v>0</v>
      </c>
      <c r="AI46" s="39">
        <f t="shared" si="34"/>
        <v>33433.33</v>
      </c>
      <c r="AJ46" s="34"/>
      <c r="AK46" s="34">
        <f t="shared" si="35"/>
        <v>401.2</v>
      </c>
      <c r="AL46" s="34">
        <f t="shared" si="49"/>
        <v>190.5</v>
      </c>
      <c r="AM46" s="51">
        <v>0.30199999999999999</v>
      </c>
      <c r="AQ46" s="50">
        <f t="shared" si="7"/>
        <v>0</v>
      </c>
      <c r="AR46" s="51"/>
    </row>
    <row r="47" spans="1:45" x14ac:dyDescent="0.25">
      <c r="A47" s="278">
        <v>39</v>
      </c>
      <c r="B47" s="218" t="s">
        <v>40</v>
      </c>
      <c r="C47" s="54">
        <v>1</v>
      </c>
      <c r="D47" s="177">
        <v>11.061999999999999</v>
      </c>
      <c r="E47" s="171">
        <f t="shared" si="36"/>
        <v>11.06</v>
      </c>
      <c r="F47" s="154">
        <f t="shared" si="37"/>
        <v>132.69999999999999</v>
      </c>
      <c r="G47" s="228">
        <f>131.07/1000</f>
        <v>0.13</v>
      </c>
      <c r="H47" s="154">
        <v>2.1</v>
      </c>
      <c r="I47" s="154"/>
      <c r="J47" s="154"/>
      <c r="K47" s="154">
        <f>D47*2*0.2</f>
        <v>4.4000000000000004</v>
      </c>
      <c r="L47" s="154">
        <f t="shared" si="4"/>
        <v>44.9</v>
      </c>
      <c r="M47" s="154">
        <f t="shared" si="38"/>
        <v>184.2</v>
      </c>
      <c r="N47" s="171">
        <v>0.43</v>
      </c>
      <c r="O47" s="154">
        <f t="shared" si="39"/>
        <v>79.2</v>
      </c>
      <c r="P47" s="154">
        <f t="shared" si="40"/>
        <v>263.39999999999998</v>
      </c>
      <c r="Q47" s="154">
        <f t="shared" si="41"/>
        <v>210.7</v>
      </c>
      <c r="R47" s="154">
        <f t="shared" si="42"/>
        <v>210.7</v>
      </c>
      <c r="S47" s="154">
        <f t="shared" si="43"/>
        <v>21.9</v>
      </c>
      <c r="T47" s="154">
        <f t="shared" si="44"/>
        <v>706.7</v>
      </c>
      <c r="U47" s="1532"/>
      <c r="V47" s="154">
        <f t="shared" si="5"/>
        <v>706.7</v>
      </c>
      <c r="W47" s="154">
        <f t="shared" si="20"/>
        <v>213.4</v>
      </c>
      <c r="X47" s="278"/>
      <c r="Y47" s="24">
        <v>35</v>
      </c>
      <c r="Z47" s="48">
        <f t="shared" si="45"/>
        <v>0</v>
      </c>
      <c r="AA47" s="54"/>
      <c r="AB47" s="24">
        <v>17.5</v>
      </c>
      <c r="AC47" s="48">
        <f t="shared" si="46"/>
        <v>0</v>
      </c>
      <c r="AD47" s="54"/>
      <c r="AE47" s="24">
        <v>35</v>
      </c>
      <c r="AF47" s="48">
        <f t="shared" si="47"/>
        <v>0</v>
      </c>
      <c r="AG47" s="278">
        <f t="shared" si="0"/>
        <v>0</v>
      </c>
      <c r="AH47" s="48">
        <f t="shared" si="48"/>
        <v>0</v>
      </c>
      <c r="AI47" s="39">
        <f t="shared" si="34"/>
        <v>58891.67</v>
      </c>
      <c r="AJ47" s="34"/>
      <c r="AK47" s="34">
        <f t="shared" si="35"/>
        <v>706.7</v>
      </c>
      <c r="AL47" s="34">
        <f t="shared" si="49"/>
        <v>246.1</v>
      </c>
      <c r="AM47" s="51">
        <v>0.30199999999999999</v>
      </c>
      <c r="AN47" s="50"/>
      <c r="AO47" s="50"/>
      <c r="AP47" s="50"/>
      <c r="AQ47" s="50">
        <f t="shared" si="7"/>
        <v>0</v>
      </c>
      <c r="AR47" s="51"/>
    </row>
    <row r="48" spans="1:45" x14ac:dyDescent="0.25">
      <c r="A48" s="278">
        <v>40</v>
      </c>
      <c r="B48" s="218" t="s">
        <v>41</v>
      </c>
      <c r="C48" s="54">
        <v>1</v>
      </c>
      <c r="D48" s="177">
        <v>8.4730000000000008</v>
      </c>
      <c r="E48" s="171">
        <f t="shared" si="36"/>
        <v>8.4700000000000006</v>
      </c>
      <c r="F48" s="154">
        <f t="shared" si="37"/>
        <v>101.6</v>
      </c>
      <c r="G48" s="154">
        <f>100.4/1000</f>
        <v>0.1</v>
      </c>
      <c r="H48" s="154">
        <v>0.5</v>
      </c>
      <c r="I48" s="154"/>
      <c r="J48" s="154"/>
      <c r="K48" s="154">
        <f>D48*8.5*0.2</f>
        <v>14.4</v>
      </c>
      <c r="L48" s="154">
        <f t="shared" si="4"/>
        <v>34.4</v>
      </c>
      <c r="M48" s="154">
        <f t="shared" si="38"/>
        <v>151</v>
      </c>
      <c r="N48" s="171">
        <v>0.41</v>
      </c>
      <c r="O48" s="154">
        <f t="shared" si="39"/>
        <v>61.9</v>
      </c>
      <c r="P48" s="154">
        <f t="shared" si="40"/>
        <v>212.9</v>
      </c>
      <c r="Q48" s="154">
        <f t="shared" si="41"/>
        <v>170.3</v>
      </c>
      <c r="R48" s="154">
        <f t="shared" si="42"/>
        <v>170.3</v>
      </c>
      <c r="S48" s="154">
        <f t="shared" si="43"/>
        <v>17.7</v>
      </c>
      <c r="T48" s="154">
        <f t="shared" si="44"/>
        <v>571.20000000000005</v>
      </c>
      <c r="U48" s="1532"/>
      <c r="V48" s="154">
        <f t="shared" si="5"/>
        <v>571.20000000000005</v>
      </c>
      <c r="W48" s="154">
        <f t="shared" si="20"/>
        <v>172.5</v>
      </c>
      <c r="X48" s="278">
        <v>1</v>
      </c>
      <c r="Y48" s="24">
        <v>35</v>
      </c>
      <c r="Z48" s="48">
        <f t="shared" si="45"/>
        <v>35</v>
      </c>
      <c r="AA48" s="54"/>
      <c r="AB48" s="24">
        <v>17.5</v>
      </c>
      <c r="AC48" s="48">
        <f>AA48*AB48</f>
        <v>0</v>
      </c>
      <c r="AD48" s="54"/>
      <c r="AE48" s="24">
        <v>35</v>
      </c>
      <c r="AF48" s="48">
        <f t="shared" si="47"/>
        <v>0</v>
      </c>
      <c r="AG48" s="278">
        <f t="shared" si="0"/>
        <v>10.5</v>
      </c>
      <c r="AH48" s="48">
        <f t="shared" si="48"/>
        <v>45.5</v>
      </c>
      <c r="AI48" s="39">
        <f t="shared" si="34"/>
        <v>47600</v>
      </c>
      <c r="AJ48" s="34"/>
      <c r="AK48" s="34">
        <f t="shared" si="35"/>
        <v>571.20000000000005</v>
      </c>
      <c r="AL48" s="34">
        <f t="shared" si="49"/>
        <v>221.4</v>
      </c>
      <c r="AM48" s="51">
        <v>0.30199999999999999</v>
      </c>
      <c r="AN48" s="50"/>
      <c r="AO48" s="50"/>
      <c r="AP48" s="50"/>
      <c r="AQ48" s="50">
        <f t="shared" si="7"/>
        <v>0</v>
      </c>
      <c r="AR48" s="51"/>
    </row>
    <row r="49" spans="1:44" x14ac:dyDescent="0.25">
      <c r="A49" s="278">
        <v>41</v>
      </c>
      <c r="B49" s="218" t="s">
        <v>42</v>
      </c>
      <c r="C49" s="24">
        <v>0.5</v>
      </c>
      <c r="D49" s="213">
        <v>11.061999999999999</v>
      </c>
      <c r="E49" s="171">
        <f t="shared" si="36"/>
        <v>5.53</v>
      </c>
      <c r="F49" s="154">
        <f t="shared" si="37"/>
        <v>66.400000000000006</v>
      </c>
      <c r="G49" s="154">
        <f>65.5/1000</f>
        <v>0.1</v>
      </c>
      <c r="H49" s="154">
        <v>3</v>
      </c>
      <c r="I49" s="154"/>
      <c r="J49" s="154"/>
      <c r="K49" s="154"/>
      <c r="L49" s="154">
        <f t="shared" si="4"/>
        <v>22.5</v>
      </c>
      <c r="M49" s="154">
        <f t="shared" si="38"/>
        <v>92</v>
      </c>
      <c r="N49" s="171">
        <v>0.43</v>
      </c>
      <c r="O49" s="154">
        <f t="shared" si="39"/>
        <v>39.6</v>
      </c>
      <c r="P49" s="154">
        <f t="shared" si="40"/>
        <v>131.6</v>
      </c>
      <c r="Q49" s="154">
        <f t="shared" si="41"/>
        <v>105.3</v>
      </c>
      <c r="R49" s="154">
        <f t="shared" si="42"/>
        <v>105.3</v>
      </c>
      <c r="S49" s="154">
        <f t="shared" si="43"/>
        <v>11</v>
      </c>
      <c r="T49" s="154">
        <f t="shared" si="44"/>
        <v>353.2</v>
      </c>
      <c r="U49" s="1532"/>
      <c r="V49" s="154">
        <f t="shared" si="5"/>
        <v>353.2</v>
      </c>
      <c r="W49" s="154">
        <f t="shared" si="20"/>
        <v>106.7</v>
      </c>
      <c r="X49" s="278"/>
      <c r="Y49" s="24">
        <v>35</v>
      </c>
      <c r="Z49" s="48">
        <f t="shared" si="45"/>
        <v>0</v>
      </c>
      <c r="AA49" s="54"/>
      <c r="AB49" s="24">
        <v>17.5</v>
      </c>
      <c r="AC49" s="48">
        <f t="shared" si="46"/>
        <v>0</v>
      </c>
      <c r="AD49" s="54"/>
      <c r="AE49" s="24">
        <v>35</v>
      </c>
      <c r="AF49" s="48">
        <f t="shared" si="47"/>
        <v>0</v>
      </c>
      <c r="AG49" s="278">
        <f t="shared" si="0"/>
        <v>0</v>
      </c>
      <c r="AH49" s="48">
        <f t="shared" si="48"/>
        <v>0</v>
      </c>
      <c r="AI49" s="39">
        <f t="shared" si="34"/>
        <v>58866.67</v>
      </c>
      <c r="AJ49" s="34"/>
      <c r="AK49" s="34">
        <f t="shared" si="35"/>
        <v>706.4</v>
      </c>
      <c r="AL49" s="34">
        <f t="shared" si="49"/>
        <v>246</v>
      </c>
      <c r="AM49" s="51">
        <v>0.30199999999999999</v>
      </c>
      <c r="AO49" s="50"/>
      <c r="AP49" s="50"/>
      <c r="AQ49" s="50">
        <f t="shared" si="7"/>
        <v>0</v>
      </c>
      <c r="AR49" s="51"/>
    </row>
    <row r="50" spans="1:44" x14ac:dyDescent="0.25">
      <c r="A50" s="278">
        <v>42</v>
      </c>
      <c r="B50" s="52" t="s">
        <v>43</v>
      </c>
      <c r="C50" s="167">
        <v>0.25</v>
      </c>
      <c r="D50" s="177">
        <v>8.4730000000000008</v>
      </c>
      <c r="E50" s="171">
        <f t="shared" si="36"/>
        <v>2.12</v>
      </c>
      <c r="F50" s="154">
        <f t="shared" si="37"/>
        <v>25.4</v>
      </c>
      <c r="G50" s="154"/>
      <c r="H50" s="154"/>
      <c r="I50" s="154"/>
      <c r="J50" s="154"/>
      <c r="K50" s="154"/>
      <c r="L50" s="154">
        <f t="shared" si="4"/>
        <v>8.6</v>
      </c>
      <c r="M50" s="154">
        <f t="shared" si="38"/>
        <v>34</v>
      </c>
      <c r="N50" s="171">
        <v>0.41</v>
      </c>
      <c r="O50" s="154">
        <f t="shared" si="39"/>
        <v>13.9</v>
      </c>
      <c r="P50" s="154">
        <f t="shared" si="40"/>
        <v>47.9</v>
      </c>
      <c r="Q50" s="154">
        <f t="shared" si="41"/>
        <v>38.299999999999997</v>
      </c>
      <c r="R50" s="154">
        <f t="shared" si="42"/>
        <v>38.299999999999997</v>
      </c>
      <c r="S50" s="154">
        <f t="shared" si="43"/>
        <v>4</v>
      </c>
      <c r="T50" s="154">
        <f t="shared" si="44"/>
        <v>128.5</v>
      </c>
      <c r="U50" s="1532"/>
      <c r="V50" s="154">
        <f t="shared" si="5"/>
        <v>128.5</v>
      </c>
      <c r="W50" s="154">
        <f t="shared" si="20"/>
        <v>38.799999999999997</v>
      </c>
      <c r="X50" s="278"/>
      <c r="Y50" s="24">
        <v>35</v>
      </c>
      <c r="Z50" s="48">
        <f t="shared" si="45"/>
        <v>0</v>
      </c>
      <c r="AA50" s="54"/>
      <c r="AB50" s="24">
        <v>17.5</v>
      </c>
      <c r="AC50" s="48">
        <f t="shared" si="46"/>
        <v>0</v>
      </c>
      <c r="AD50" s="54"/>
      <c r="AE50" s="24">
        <v>35</v>
      </c>
      <c r="AF50" s="48">
        <f t="shared" si="47"/>
        <v>0</v>
      </c>
      <c r="AG50" s="278">
        <f t="shared" si="0"/>
        <v>0</v>
      </c>
      <c r="AH50" s="48">
        <f t="shared" si="48"/>
        <v>0</v>
      </c>
      <c r="AI50" s="39">
        <f t="shared" si="34"/>
        <v>42833.33</v>
      </c>
      <c r="AJ50" s="34"/>
      <c r="AK50" s="34">
        <f t="shared" si="35"/>
        <v>514</v>
      </c>
      <c r="AL50" s="34">
        <f t="shared" si="49"/>
        <v>211</v>
      </c>
      <c r="AM50" s="51">
        <v>0.30199999999999999</v>
      </c>
      <c r="AN50" s="50"/>
      <c r="AO50" s="50"/>
      <c r="AP50" s="50"/>
      <c r="AQ50" s="50">
        <f t="shared" si="7"/>
        <v>0</v>
      </c>
      <c r="AR50" s="51"/>
    </row>
    <row r="51" spans="1:44" x14ac:dyDescent="0.25">
      <c r="A51" s="278">
        <v>43</v>
      </c>
      <c r="B51" s="229" t="s">
        <v>44</v>
      </c>
      <c r="C51" s="179">
        <f>1-0.25</f>
        <v>0.75</v>
      </c>
      <c r="D51" s="213">
        <v>11.061999999999999</v>
      </c>
      <c r="E51" s="171">
        <f t="shared" si="36"/>
        <v>8.3000000000000007</v>
      </c>
      <c r="F51" s="154">
        <f t="shared" si="37"/>
        <v>99.6</v>
      </c>
      <c r="G51" s="154"/>
      <c r="H51" s="154">
        <v>2.4</v>
      </c>
      <c r="I51" s="154"/>
      <c r="J51" s="154"/>
      <c r="K51" s="154"/>
      <c r="L51" s="154">
        <f t="shared" si="4"/>
        <v>33.700000000000003</v>
      </c>
      <c r="M51" s="154">
        <f t="shared" si="38"/>
        <v>135.69999999999999</v>
      </c>
      <c r="N51" s="171">
        <v>0.43</v>
      </c>
      <c r="O51" s="154">
        <f t="shared" si="39"/>
        <v>58.4</v>
      </c>
      <c r="P51" s="154">
        <f t="shared" si="40"/>
        <v>194.1</v>
      </c>
      <c r="Q51" s="154">
        <f t="shared" si="41"/>
        <v>155.30000000000001</v>
      </c>
      <c r="R51" s="154">
        <f t="shared" si="42"/>
        <v>155.30000000000001</v>
      </c>
      <c r="S51" s="154">
        <f t="shared" si="43"/>
        <v>16.2</v>
      </c>
      <c r="T51" s="154">
        <f t="shared" si="44"/>
        <v>520.9</v>
      </c>
      <c r="U51" s="1532"/>
      <c r="V51" s="154">
        <f>T51*$U$9-0.3</f>
        <v>520.6</v>
      </c>
      <c r="W51" s="154">
        <f t="shared" si="20"/>
        <v>157.19999999999999</v>
      </c>
      <c r="X51" s="278"/>
      <c r="Y51" s="24">
        <v>35</v>
      </c>
      <c r="Z51" s="48">
        <f t="shared" si="45"/>
        <v>0</v>
      </c>
      <c r="AA51" s="54"/>
      <c r="AB51" s="24">
        <v>17.5</v>
      </c>
      <c r="AC51" s="48">
        <f t="shared" si="46"/>
        <v>0</v>
      </c>
      <c r="AD51" s="54"/>
      <c r="AE51" s="24">
        <v>35</v>
      </c>
      <c r="AF51" s="48">
        <f t="shared" si="47"/>
        <v>0</v>
      </c>
      <c r="AG51" s="278">
        <f t="shared" si="0"/>
        <v>0</v>
      </c>
      <c r="AH51" s="48">
        <f t="shared" si="48"/>
        <v>0</v>
      </c>
      <c r="AI51" s="39">
        <f t="shared" si="34"/>
        <v>57844.44</v>
      </c>
      <c r="AJ51" s="34"/>
      <c r="AK51" s="34">
        <f t="shared" si="35"/>
        <v>694.1</v>
      </c>
      <c r="AL51" s="34">
        <f t="shared" si="49"/>
        <v>243.8</v>
      </c>
      <c r="AM51" s="51">
        <v>0.30199999999999999</v>
      </c>
      <c r="AN51" s="50"/>
      <c r="AO51" s="50"/>
      <c r="AP51" s="50"/>
      <c r="AQ51" s="50">
        <f t="shared" si="7"/>
        <v>0</v>
      </c>
      <c r="AR51" s="51"/>
    </row>
    <row r="52" spans="1:44" s="33" customFormat="1" ht="20.25" customHeight="1" x14ac:dyDescent="0.25">
      <c r="A52" s="1545" t="s">
        <v>72</v>
      </c>
      <c r="B52" s="1545"/>
      <c r="C52" s="230">
        <f t="shared" ref="C52:AG52" si="50">SUM(C9:C51)</f>
        <v>59.75</v>
      </c>
      <c r="D52" s="231">
        <f t="shared" si="50"/>
        <v>419</v>
      </c>
      <c r="E52" s="231">
        <f t="shared" si="50"/>
        <v>591.79999999999995</v>
      </c>
      <c r="F52" s="231">
        <f t="shared" si="50"/>
        <v>7100.7</v>
      </c>
      <c r="G52" s="231">
        <f t="shared" si="50"/>
        <v>0.4</v>
      </c>
      <c r="H52" s="231">
        <f t="shared" si="50"/>
        <v>204.3</v>
      </c>
      <c r="I52" s="231">
        <f t="shared" si="50"/>
        <v>0</v>
      </c>
      <c r="J52" s="231">
        <f t="shared" si="50"/>
        <v>93.9</v>
      </c>
      <c r="K52" s="231">
        <f t="shared" si="50"/>
        <v>1647.5</v>
      </c>
      <c r="L52" s="231">
        <f t="shared" si="50"/>
        <v>2508.9</v>
      </c>
      <c r="M52" s="231">
        <f t="shared" si="50"/>
        <v>11555.7</v>
      </c>
      <c r="N52" s="231">
        <f t="shared" si="50"/>
        <v>19.100000000000001</v>
      </c>
      <c r="O52" s="231">
        <f t="shared" si="50"/>
        <v>5402.6</v>
      </c>
      <c r="P52" s="231">
        <f t="shared" si="50"/>
        <v>16958.3</v>
      </c>
      <c r="Q52" s="231">
        <f t="shared" si="50"/>
        <v>13566</v>
      </c>
      <c r="R52" s="231">
        <f t="shared" si="50"/>
        <v>13566</v>
      </c>
      <c r="S52" s="231">
        <f t="shared" si="50"/>
        <v>1410.9</v>
      </c>
      <c r="T52" s="231">
        <f t="shared" si="50"/>
        <v>45501.2</v>
      </c>
      <c r="U52" s="231">
        <f t="shared" si="50"/>
        <v>1</v>
      </c>
      <c r="V52" s="231">
        <f t="shared" si="50"/>
        <v>45500.9</v>
      </c>
      <c r="W52" s="231">
        <f t="shared" si="50"/>
        <v>13348.7</v>
      </c>
      <c r="X52" s="231">
        <f t="shared" si="50"/>
        <v>34</v>
      </c>
      <c r="Y52" s="231">
        <f t="shared" si="50"/>
        <v>1305</v>
      </c>
      <c r="Z52" s="231">
        <f t="shared" si="50"/>
        <v>1040</v>
      </c>
      <c r="AA52" s="231">
        <f t="shared" si="50"/>
        <v>17</v>
      </c>
      <c r="AB52" s="231">
        <f t="shared" si="50"/>
        <v>652.5</v>
      </c>
      <c r="AC52" s="231">
        <f t="shared" si="50"/>
        <v>255</v>
      </c>
      <c r="AD52" s="231">
        <f t="shared" si="50"/>
        <v>6</v>
      </c>
      <c r="AE52" s="231">
        <f t="shared" si="50"/>
        <v>1305</v>
      </c>
      <c r="AF52" s="231">
        <f t="shared" si="50"/>
        <v>185</v>
      </c>
      <c r="AG52" s="231">
        <f t="shared" si="50"/>
        <v>444</v>
      </c>
      <c r="AH52" s="231">
        <f>SUM(AH9:AH51)</f>
        <v>1924</v>
      </c>
      <c r="AN52" s="211"/>
      <c r="AO52" s="211"/>
      <c r="AP52" s="211"/>
      <c r="AQ52" s="50">
        <f t="shared" si="7"/>
        <v>0</v>
      </c>
    </row>
    <row r="53" spans="1:44" ht="17.25" customHeight="1" x14ac:dyDescent="0.25">
      <c r="G53" s="39"/>
      <c r="H53" s="39"/>
      <c r="I53" s="39"/>
      <c r="J53" s="39"/>
      <c r="K53" s="39"/>
      <c r="L53" s="232"/>
      <c r="M53" s="232"/>
      <c r="N53" s="232"/>
      <c r="O53" s="232"/>
      <c r="P53" s="232"/>
      <c r="Q53" s="39"/>
      <c r="R53" s="39"/>
      <c r="S53" s="39"/>
      <c r="T53" s="39"/>
      <c r="V53" s="34"/>
      <c r="W53" s="66"/>
      <c r="X53" s="39"/>
      <c r="AA53" s="39"/>
      <c r="AD53" s="39"/>
      <c r="AG53" s="39"/>
      <c r="AH53" s="39"/>
    </row>
    <row r="54" spans="1:44" s="75" customFormat="1" x14ac:dyDescent="0.25">
      <c r="A54" s="70"/>
      <c r="B54" s="70"/>
      <c r="C54" s="71"/>
      <c r="D54" s="72"/>
      <c r="E54" s="72"/>
      <c r="F54" s="72"/>
      <c r="G54" s="72"/>
      <c r="H54" s="73"/>
      <c r="I54" s="73"/>
      <c r="J54" s="27"/>
      <c r="K54" s="27"/>
      <c r="L54" s="27"/>
      <c r="M54" s="27"/>
      <c r="N54" s="74"/>
      <c r="O54" s="27"/>
      <c r="P54" s="27"/>
      <c r="Q54" s="27"/>
      <c r="R54" s="27"/>
      <c r="S54" s="27"/>
      <c r="T54" s="27"/>
      <c r="U54" s="27"/>
      <c r="V54" s="27"/>
      <c r="W54" s="27"/>
      <c r="X54" s="27"/>
      <c r="Y54" s="27"/>
      <c r="Z54" s="27"/>
      <c r="AA54" s="27"/>
      <c r="AB54" s="27"/>
      <c r="AC54" s="27"/>
      <c r="AD54" s="27"/>
      <c r="AE54" s="27"/>
      <c r="AF54" s="27"/>
      <c r="AG54" s="27"/>
      <c r="AH54" s="27"/>
      <c r="AI54" s="27"/>
      <c r="AJ54" s="76"/>
      <c r="AN54" s="76"/>
      <c r="AO54" s="76"/>
      <c r="AP54" s="76"/>
      <c r="AQ54" s="76"/>
      <c r="AR54" s="76"/>
    </row>
    <row r="55" spans="1:44" s="75" customFormat="1" ht="104.25" customHeight="1" x14ac:dyDescent="0.25">
      <c r="A55" s="70"/>
      <c r="B55" s="70"/>
      <c r="C55" s="71"/>
      <c r="D55" s="77"/>
      <c r="E55" s="77"/>
      <c r="F55" s="27"/>
      <c r="G55" s="1545" t="s">
        <v>140</v>
      </c>
      <c r="H55" s="1545"/>
      <c r="I55" s="1545" t="s">
        <v>144</v>
      </c>
      <c r="J55" s="1545"/>
      <c r="K55" s="1540" t="s">
        <v>145</v>
      </c>
      <c r="L55" s="1541"/>
      <c r="M55" s="1545" t="s">
        <v>128</v>
      </c>
      <c r="N55" s="1545"/>
      <c r="O55" s="70"/>
      <c r="P55" s="70"/>
      <c r="Q55" s="27"/>
      <c r="R55" s="27"/>
      <c r="S55" s="27"/>
      <c r="T55" s="27"/>
      <c r="U55" s="27"/>
      <c r="V55" s="27"/>
      <c r="W55" s="27"/>
      <c r="X55" s="27"/>
      <c r="Y55" s="27"/>
      <c r="Z55" s="27"/>
      <c r="AA55" s="27"/>
      <c r="AB55" s="27"/>
      <c r="AC55" s="27"/>
      <c r="AD55" s="27"/>
      <c r="AE55" s="27"/>
      <c r="AF55" s="27"/>
      <c r="AG55" s="27"/>
      <c r="AH55" s="27"/>
      <c r="AI55" s="27"/>
      <c r="AJ55" s="76"/>
      <c r="AN55" s="76"/>
      <c r="AO55" s="76"/>
      <c r="AP55" s="76"/>
      <c r="AQ55" s="76"/>
      <c r="AR55" s="76"/>
    </row>
    <row r="56" spans="1:44" s="75" customFormat="1" x14ac:dyDescent="0.25">
      <c r="A56" s="70"/>
      <c r="B56" s="70"/>
      <c r="C56" s="71"/>
      <c r="D56" s="77"/>
      <c r="E56" s="77"/>
      <c r="F56" s="27"/>
      <c r="G56" s="279">
        <v>991</v>
      </c>
      <c r="H56" s="279">
        <v>992</v>
      </c>
      <c r="I56" s="279">
        <v>991</v>
      </c>
      <c r="J56" s="279">
        <v>992</v>
      </c>
      <c r="K56" s="279">
        <v>991</v>
      </c>
      <c r="L56" s="279">
        <v>992</v>
      </c>
      <c r="M56" s="279">
        <v>991</v>
      </c>
      <c r="N56" s="279">
        <v>992</v>
      </c>
      <c r="O56" s="79"/>
      <c r="P56" s="79"/>
      <c r="Q56" s="27"/>
      <c r="R56" s="27"/>
      <c r="S56" s="27"/>
      <c r="T56" s="27"/>
      <c r="U56" s="27"/>
      <c r="V56" s="27"/>
      <c r="W56" s="27"/>
      <c r="X56" s="27"/>
      <c r="Y56" s="27"/>
      <c r="Z56" s="27"/>
      <c r="AA56" s="27"/>
      <c r="AB56" s="27"/>
      <c r="AC56" s="27"/>
      <c r="AD56" s="27"/>
      <c r="AE56" s="27"/>
      <c r="AF56" s="27"/>
      <c r="AG56" s="27"/>
      <c r="AH56" s="27"/>
      <c r="AI56" s="27"/>
      <c r="AJ56" s="76"/>
      <c r="AN56" s="76"/>
      <c r="AO56" s="76"/>
      <c r="AP56" s="76"/>
      <c r="AQ56" s="76"/>
      <c r="AR56" s="76"/>
    </row>
    <row r="57" spans="1:44" s="75" customFormat="1" x14ac:dyDescent="0.25">
      <c r="A57" s="70"/>
      <c r="B57" s="70"/>
      <c r="C57" s="71"/>
      <c r="D57" s="77"/>
      <c r="E57" s="77"/>
      <c r="F57" s="27"/>
      <c r="G57" s="29">
        <v>46179.199999999997</v>
      </c>
      <c r="H57" s="29">
        <v>13446.9</v>
      </c>
      <c r="I57" s="29">
        <f>245.4+176.6+93.6+162.7</f>
        <v>678.3</v>
      </c>
      <c r="J57" s="29">
        <f>74.1+53.3+28.3+49.1</f>
        <v>204.8</v>
      </c>
      <c r="K57" s="29">
        <f>V52</f>
        <v>45500.9</v>
      </c>
      <c r="L57" s="29">
        <f>W52</f>
        <v>13348.7</v>
      </c>
      <c r="M57" s="29">
        <f>G57-I57-K57</f>
        <v>0</v>
      </c>
      <c r="N57" s="29">
        <f>H57-J57-L57</f>
        <v>-106.6</v>
      </c>
      <c r="O57" s="80"/>
      <c r="P57" s="80"/>
      <c r="Q57" s="27"/>
      <c r="R57" s="27"/>
      <c r="S57" s="27"/>
      <c r="T57" s="27"/>
      <c r="U57" s="27"/>
      <c r="V57" s="27"/>
      <c r="W57" s="27"/>
      <c r="X57" s="27"/>
      <c r="Y57" s="27"/>
      <c r="Z57" s="27"/>
      <c r="AA57" s="27"/>
      <c r="AB57" s="27"/>
      <c r="AC57" s="27"/>
      <c r="AD57" s="27"/>
      <c r="AE57" s="27"/>
      <c r="AF57" s="27"/>
      <c r="AG57" s="27"/>
      <c r="AH57" s="27"/>
      <c r="AI57" s="27"/>
      <c r="AJ57" s="76"/>
      <c r="AN57" s="76"/>
      <c r="AO57" s="76"/>
      <c r="AP57" s="76"/>
      <c r="AQ57" s="76"/>
      <c r="AR57" s="76"/>
    </row>
    <row r="58" spans="1:44" s="75" customFormat="1" x14ac:dyDescent="0.25">
      <c r="A58" s="70"/>
      <c r="B58" s="70"/>
      <c r="C58" s="71"/>
      <c r="D58" s="77"/>
      <c r="E58" s="77"/>
      <c r="F58" s="27"/>
      <c r="G58" s="27"/>
      <c r="H58" s="73"/>
      <c r="I58" s="73"/>
      <c r="J58" s="27"/>
      <c r="K58" s="27"/>
      <c r="L58" s="27"/>
      <c r="M58" s="27"/>
      <c r="N58" s="74"/>
      <c r="O58" s="27"/>
      <c r="P58" s="27"/>
      <c r="Q58" s="27"/>
      <c r="R58" s="27"/>
      <c r="S58" s="27"/>
      <c r="T58" s="27"/>
      <c r="U58" s="27"/>
      <c r="V58" s="27"/>
      <c r="W58" s="27"/>
      <c r="X58" s="27"/>
      <c r="Y58" s="27"/>
      <c r="Z58" s="27"/>
      <c r="AA58" s="27"/>
      <c r="AB58" s="27"/>
      <c r="AC58" s="27"/>
      <c r="AD58" s="27"/>
      <c r="AE58" s="27"/>
      <c r="AF58" s="27"/>
      <c r="AG58" s="27"/>
      <c r="AH58" s="76"/>
      <c r="AM58" s="76"/>
      <c r="AN58" s="211"/>
      <c r="AO58" s="211"/>
      <c r="AP58" s="211"/>
      <c r="AQ58" s="211"/>
    </row>
    <row r="59" spans="1:44" s="282" customFormat="1" ht="21" x14ac:dyDescent="0.25">
      <c r="A59" s="81"/>
      <c r="B59" s="82" t="s">
        <v>138</v>
      </c>
      <c r="C59" s="83"/>
      <c r="D59" s="84"/>
      <c r="E59" s="84"/>
      <c r="F59" s="85"/>
      <c r="G59" s="85"/>
      <c r="H59" s="86"/>
      <c r="I59" s="86"/>
      <c r="J59" s="85"/>
      <c r="K59" s="30" t="s">
        <v>167</v>
      </c>
      <c r="L59" s="85"/>
      <c r="M59" s="85"/>
      <c r="N59" s="87"/>
      <c r="O59" s="85"/>
      <c r="P59" s="85"/>
      <c r="Q59" s="85"/>
      <c r="R59" s="85"/>
      <c r="S59" s="85"/>
      <c r="T59" s="85"/>
      <c r="U59" s="85"/>
      <c r="V59" s="85"/>
      <c r="W59" s="85"/>
      <c r="X59" s="85"/>
      <c r="Y59" s="85"/>
      <c r="Z59" s="85"/>
      <c r="AA59" s="85"/>
      <c r="AB59" s="85"/>
      <c r="AC59" s="85"/>
      <c r="AD59" s="85"/>
      <c r="AE59" s="85"/>
      <c r="AF59" s="85"/>
      <c r="AG59" s="85"/>
      <c r="AH59" s="85"/>
      <c r="AI59" s="85"/>
      <c r="AK59" s="88"/>
      <c r="AL59" s="88"/>
      <c r="AM59" s="88"/>
      <c r="AN59" s="88"/>
      <c r="AO59" s="88"/>
    </row>
    <row r="60" spans="1:44" s="75" customFormat="1" x14ac:dyDescent="0.25">
      <c r="A60" s="70"/>
      <c r="B60" s="70"/>
      <c r="C60" s="71"/>
      <c r="D60" s="77"/>
      <c r="E60" s="77"/>
      <c r="F60" s="27"/>
      <c r="G60" s="27"/>
      <c r="H60" s="73"/>
      <c r="I60" s="73"/>
      <c r="J60" s="27"/>
      <c r="K60" s="27"/>
      <c r="L60" s="27"/>
      <c r="M60" s="27"/>
      <c r="N60" s="74"/>
      <c r="O60" s="27"/>
      <c r="P60" s="27"/>
      <c r="Q60" s="27"/>
      <c r="R60" s="27"/>
      <c r="S60" s="27"/>
      <c r="T60" s="27"/>
      <c r="U60" s="27"/>
      <c r="V60" s="27"/>
      <c r="W60" s="27"/>
      <c r="X60" s="27"/>
      <c r="Y60" s="27"/>
      <c r="Z60" s="27"/>
      <c r="AA60" s="27"/>
      <c r="AB60" s="27"/>
      <c r="AC60" s="27"/>
      <c r="AD60" s="27"/>
      <c r="AE60" s="27"/>
      <c r="AF60" s="27"/>
      <c r="AG60" s="27"/>
      <c r="AH60" s="76"/>
      <c r="AM60" s="76"/>
      <c r="AN60" s="211"/>
      <c r="AO60" s="211"/>
      <c r="AP60" s="211"/>
      <c r="AQ60" s="211"/>
    </row>
    <row r="61" spans="1:44" s="75" customFormat="1" ht="20.25" customHeight="1" x14ac:dyDescent="0.25">
      <c r="A61" s="89" t="s">
        <v>96</v>
      </c>
      <c r="B61" s="89"/>
      <c r="C61" s="31"/>
      <c r="D61" s="31"/>
      <c r="E61" s="31"/>
      <c r="F61" s="31"/>
      <c r="G61" s="31"/>
      <c r="H61" s="31"/>
      <c r="I61" s="31"/>
      <c r="J61" s="31"/>
      <c r="K61" s="31"/>
      <c r="L61" s="90"/>
      <c r="M61" s="90"/>
      <c r="N61" s="91"/>
      <c r="O61" s="90"/>
      <c r="P61" s="90"/>
      <c r="Q61" s="90"/>
      <c r="R61" s="90"/>
      <c r="S61" s="90"/>
      <c r="T61" s="90"/>
      <c r="U61" s="90"/>
      <c r="V61" s="90"/>
      <c r="W61" s="90"/>
      <c r="X61" s="90"/>
      <c r="Y61" s="90"/>
      <c r="Z61" s="90"/>
      <c r="AA61" s="90"/>
      <c r="AB61" s="90"/>
      <c r="AC61" s="90"/>
      <c r="AD61" s="90"/>
      <c r="AE61" s="90"/>
      <c r="AF61" s="90"/>
      <c r="AG61" s="90"/>
      <c r="AH61" s="76"/>
      <c r="AM61" s="76"/>
      <c r="AN61" s="211"/>
      <c r="AO61" s="211"/>
      <c r="AP61" s="211"/>
      <c r="AQ61" s="211"/>
    </row>
    <row r="62" spans="1:44" s="75" customFormat="1" ht="20.25" customHeight="1" x14ac:dyDescent="0.25">
      <c r="A62" s="89" t="s">
        <v>139</v>
      </c>
      <c r="B62" s="92"/>
      <c r="C62" s="93"/>
      <c r="D62" s="93"/>
      <c r="E62" s="32"/>
      <c r="F62" s="32"/>
      <c r="G62" s="32"/>
      <c r="H62" s="32"/>
      <c r="I62" s="32"/>
      <c r="J62" s="32"/>
      <c r="K62" s="32"/>
      <c r="L62" s="90"/>
      <c r="M62" s="90"/>
      <c r="N62" s="90"/>
      <c r="O62" s="90"/>
      <c r="P62" s="90"/>
      <c r="Q62" s="90"/>
      <c r="R62" s="90"/>
      <c r="S62" s="90"/>
      <c r="T62" s="90"/>
      <c r="U62" s="90"/>
      <c r="V62" s="90"/>
      <c r="W62" s="90"/>
      <c r="X62" s="90"/>
      <c r="Y62" s="90"/>
      <c r="Z62" s="90"/>
      <c r="AA62" s="90"/>
      <c r="AB62" s="90"/>
      <c r="AC62" s="90"/>
      <c r="AD62" s="90"/>
      <c r="AE62" s="90"/>
      <c r="AF62" s="90"/>
      <c r="AG62" s="90"/>
      <c r="AH62" s="76"/>
      <c r="AM62" s="76"/>
      <c r="AN62" s="211"/>
      <c r="AO62" s="211"/>
      <c r="AP62" s="211"/>
      <c r="AQ62" s="211"/>
    </row>
    <row r="64" spans="1:44" hidden="1" x14ac:dyDescent="0.25">
      <c r="A64" s="278"/>
      <c r="B64" s="233" t="s">
        <v>121</v>
      </c>
      <c r="C64" s="233">
        <f t="shared" ref="C64:W64" si="51">C9+C10+C12</f>
        <v>3</v>
      </c>
      <c r="D64" s="233">
        <f t="shared" si="51"/>
        <v>61.43</v>
      </c>
      <c r="E64" s="183">
        <f t="shared" si="51"/>
        <v>61.44</v>
      </c>
      <c r="F64" s="233">
        <f t="shared" si="51"/>
        <v>737.2</v>
      </c>
      <c r="G64" s="233">
        <f t="shared" si="51"/>
        <v>0</v>
      </c>
      <c r="H64" s="233">
        <f t="shared" si="51"/>
        <v>8.6999999999999993</v>
      </c>
      <c r="I64" s="233">
        <f t="shared" si="51"/>
        <v>0</v>
      </c>
      <c r="J64" s="233">
        <f t="shared" si="51"/>
        <v>0</v>
      </c>
      <c r="K64" s="233">
        <f t="shared" si="51"/>
        <v>208.9</v>
      </c>
      <c r="L64" s="233">
        <f t="shared" si="51"/>
        <v>249.5</v>
      </c>
      <c r="M64" s="233">
        <f t="shared" si="51"/>
        <v>1204.3</v>
      </c>
      <c r="N64" s="233">
        <f t="shared" si="51"/>
        <v>1.92</v>
      </c>
      <c r="O64" s="233">
        <f t="shared" si="51"/>
        <v>838.4</v>
      </c>
      <c r="P64" s="233">
        <f t="shared" si="51"/>
        <v>2042.7</v>
      </c>
      <c r="Q64" s="233">
        <f t="shared" si="51"/>
        <v>1634.1</v>
      </c>
      <c r="R64" s="233">
        <f t="shared" si="51"/>
        <v>1634.1</v>
      </c>
      <c r="S64" s="233">
        <f t="shared" si="51"/>
        <v>170</v>
      </c>
      <c r="T64" s="233">
        <f t="shared" si="51"/>
        <v>5480.9</v>
      </c>
      <c r="U64" s="233">
        <f t="shared" si="51"/>
        <v>1</v>
      </c>
      <c r="V64" s="233">
        <f t="shared" si="51"/>
        <v>5480.9</v>
      </c>
      <c r="W64" s="233">
        <f t="shared" si="51"/>
        <v>1328</v>
      </c>
      <c r="X64" s="234">
        <f>V64+W64</f>
        <v>6808.9</v>
      </c>
    </row>
    <row r="65" spans="1:26" hidden="1" x14ac:dyDescent="0.25">
      <c r="A65" s="278"/>
      <c r="B65" s="233" t="s">
        <v>122</v>
      </c>
      <c r="C65" s="233" t="e">
        <f>C13+C14+#REF!+C15+C16+C17+C19+C20+C21+C22+C23+C24+C25+C26+C27+C28+C29+C30+C31+C32+C33+C34+C35+C36+C38+#REF!+C39+C40+C41</f>
        <v>#REF!</v>
      </c>
      <c r="D65" s="233" t="e">
        <f>D13+D14+#REF!+D15+D16+D17+D19+D20+D21+D22+D23+D24+D25+D26+D27+D28+D29+D30+D31+D32+D33+D34+D35+D36+D38+#REF!+D39+D40+D41</f>
        <v>#REF!</v>
      </c>
      <c r="E65" s="183" t="e">
        <f>E13+E14+#REF!+E15+E16+E17+E19+E20+E21+E22+E23+E24+E25+E26+E27+E28+E29+E30+E31+E32+E33+E34+E35+E36+E38+#REF!+E39+E40+E41</f>
        <v>#REF!</v>
      </c>
      <c r="F65" s="233" t="e">
        <f>F13+F14+#REF!+F15+F16+F17+F19+F20+F21+F22+F23+F24+F25+F26+F27+F28+F29+F30+F31+F32+F33+F34+F35+F36+F38+#REF!+F39+F40+F41</f>
        <v>#REF!</v>
      </c>
      <c r="G65" s="233" t="e">
        <f>G13+G14+#REF!+G15+G16+G17+G19+G20+G21+G22+G23+G24+G25+G26+G27+G28+G29+G30+G31+G32+G33+G34+G35+G36+G38+#REF!+G39+G40+G41</f>
        <v>#REF!</v>
      </c>
      <c r="H65" s="233" t="e">
        <f>H13+H14+#REF!+H15+H16+H17+H19+H20+H21+H22+H23+H24+H25+H26+H27+H28+H29+H30+H31+H32+H33+H34+H35+H36+H38+#REF!+H39+H40+H41</f>
        <v>#REF!</v>
      </c>
      <c r="I65" s="233" t="e">
        <f>I13+I14+#REF!+I15+I16+I17+I19+I20+I21+I22+I23+I24+I25+I26+I27+I28+I29+I30+I31+I32+I33+I34+I35+I36+I38+#REF!+I39+I40+I41</f>
        <v>#REF!</v>
      </c>
      <c r="J65" s="233" t="e">
        <f>J13+J14+#REF!+J15+J16+J17+J19+J20+J21+J22+J23+J24+J25+J26+J27+J28+J29+J30+J31+J32+J33+J34+J35+J36+J38+#REF!+J39+J40+J41</f>
        <v>#REF!</v>
      </c>
      <c r="K65" s="233" t="e">
        <f>K13+K14+#REF!+K15+K16+K17+K19+K20+K21+K22+K23+K24+K25+K26+K27+K28+K29+K30+K31+K32+K33+K34+K35+K36+K38+#REF!+K39+K40+K41</f>
        <v>#REF!</v>
      </c>
      <c r="L65" s="233" t="e">
        <f>L13+L14+#REF!+L15+L16+L17+L19+L20+L21+L22+L23+L24+L25+L26+L27+L28+L29+L30+L31+L32+L33+L34+L35+L36+L38+#REF!+L39+L40+L41</f>
        <v>#REF!</v>
      </c>
      <c r="M65" s="233" t="e">
        <f>M13+M14+#REF!+M15+M16+M17+M19+M20+M21+M22+M23+M24+M25+M26+M27+M28+M29+M30+M31+M32+M33+M34+M35+M36+M38+#REF!+M39+M40+M41</f>
        <v>#REF!</v>
      </c>
      <c r="N65" s="233" t="e">
        <f>N13+N14+#REF!+N15+N16+N17+N19+N20+N21+N22+N23+N24+N25+N26+N27+N28+N29+N30+N31+N32+N33+N34+N35+N36+N38+#REF!+N39+N40+N41</f>
        <v>#REF!</v>
      </c>
      <c r="O65" s="233" t="e">
        <f>O13+O14+#REF!+O15+O16+O17+O19+O20+O21+O22+O23+O24+O25+O26+O27+O28+O29+O30+O31+O32+O33+O34+O35+O36+O38+#REF!+O39+O40+O41</f>
        <v>#REF!</v>
      </c>
      <c r="P65" s="233" t="e">
        <f>P13+P14+#REF!+P15+P16+P17+P19+P20+P21+P22+P23+P24+P25+P26+P27+P28+P29+P30+P31+P32+P33+P34+P35+P36+P38+#REF!+P39+P40+P41</f>
        <v>#REF!</v>
      </c>
      <c r="Q65" s="233" t="e">
        <f>Q13+Q14+#REF!+Q15+Q16+Q17+Q19+Q20+Q21+Q22+Q23+Q24+Q25+Q26+Q27+Q28+Q29+Q30+Q31+Q32+Q33+Q34+Q35+Q36+Q38+#REF!+Q39+Q40+Q41</f>
        <v>#REF!</v>
      </c>
      <c r="R65" s="233" t="e">
        <f>R13+R14+#REF!+R15+R16+R17+R19+R20+R21+R22+R23+R24+R25+R26+R27+R28+R29+R30+R31+R32+R33+R34+R35+R36+R38+#REF!+R39+R40+R41</f>
        <v>#REF!</v>
      </c>
      <c r="S65" s="233" t="e">
        <f>S13+S14+#REF!+S15+S16+S17+S19+S20+S21+S22+S23+S24+S25+S26+S27+S28+S29+S30+S31+S32+S33+S34+S35+S36+S38+#REF!+S39+S40+S41</f>
        <v>#REF!</v>
      </c>
      <c r="T65" s="233" t="e">
        <f>T13+T14+#REF!+T15+T16+T17+T19+T20+T21+T22+T23+T24+T25+T26+T27+T28+T29+T30+T31+T32+T33+T34+T35+T36+T38+#REF!+T39+T40+T41</f>
        <v>#REF!</v>
      </c>
      <c r="U65" s="233" t="e">
        <f>U13+U14+#REF!+U15+U16+U17+U19+U20+U21+U22+U23+U24+U25+U26+U27+U28+U29+U30+U31+U32+U33+U34+U35+U36+U38+#REF!+U39+U40+U41</f>
        <v>#REF!</v>
      </c>
      <c r="V65" s="233" t="e">
        <f>V13+V14+#REF!+V15+V16+V17+V19+V20+V21+V22+V23+V24+V25+V26+V27+V28+V29+V30+V31+V32+V33+V34+V35+V36+V38+#REF!+V39+V40+V41</f>
        <v>#REF!</v>
      </c>
      <c r="W65" s="233" t="e">
        <f>W13+W14+#REF!+W15+W16+W17+W19+W20+W21+W22+W23+W24+W25+W26+W27+W28+W29+W30+W31+W32+W33+W34+W35+W36+W38+#REF!+W39+W40+W41</f>
        <v>#REF!</v>
      </c>
      <c r="X65" s="234" t="e">
        <f>V65+W65</f>
        <v>#REF!</v>
      </c>
    </row>
    <row r="66" spans="1:26" hidden="1" x14ac:dyDescent="0.25">
      <c r="A66" s="278"/>
      <c r="B66" s="233" t="s">
        <v>123</v>
      </c>
      <c r="C66" s="233" t="e">
        <f>C11+C18+#REF!</f>
        <v>#REF!</v>
      </c>
      <c r="D66" s="233" t="e">
        <f>D11+D18+#REF!</f>
        <v>#REF!</v>
      </c>
      <c r="E66" s="183" t="e">
        <f>E11+E18+#REF!</f>
        <v>#REF!</v>
      </c>
      <c r="F66" s="233" t="e">
        <f>F11+F18+#REF!</f>
        <v>#REF!</v>
      </c>
      <c r="G66" s="233" t="e">
        <f>G11+G18+#REF!</f>
        <v>#REF!</v>
      </c>
      <c r="H66" s="233" t="e">
        <f>H11+H18+#REF!</f>
        <v>#REF!</v>
      </c>
      <c r="I66" s="233" t="e">
        <f>I11+I18+#REF!</f>
        <v>#REF!</v>
      </c>
      <c r="J66" s="233" t="e">
        <f>J11+J18+#REF!</f>
        <v>#REF!</v>
      </c>
      <c r="K66" s="233" t="e">
        <f>K11+K18+#REF!</f>
        <v>#REF!</v>
      </c>
      <c r="L66" s="233" t="e">
        <f>L11+L18+#REF!</f>
        <v>#REF!</v>
      </c>
      <c r="M66" s="233" t="e">
        <f>M11+M18+#REF!</f>
        <v>#REF!</v>
      </c>
      <c r="N66" s="233" t="e">
        <f>N11+N18+#REF!</f>
        <v>#REF!</v>
      </c>
      <c r="O66" s="233" t="e">
        <f>O11+O18+#REF!</f>
        <v>#REF!</v>
      </c>
      <c r="P66" s="233" t="e">
        <f>P11+P18+#REF!</f>
        <v>#REF!</v>
      </c>
      <c r="Q66" s="233" t="e">
        <f>Q11+Q18+#REF!</f>
        <v>#REF!</v>
      </c>
      <c r="R66" s="233" t="e">
        <f>R11+R18+#REF!</f>
        <v>#REF!</v>
      </c>
      <c r="S66" s="233" t="e">
        <f>S11+S18+#REF!</f>
        <v>#REF!</v>
      </c>
      <c r="T66" s="233" t="e">
        <f>T11+T18+#REF!</f>
        <v>#REF!</v>
      </c>
      <c r="U66" s="233" t="e">
        <f>U11+U18+#REF!</f>
        <v>#REF!</v>
      </c>
      <c r="V66" s="233" t="e">
        <f>V11+V18+#REF!</f>
        <v>#REF!</v>
      </c>
      <c r="W66" s="233" t="e">
        <f>W11+W18+#REF!</f>
        <v>#REF!</v>
      </c>
      <c r="X66" s="234" t="e">
        <f>V66+W66</f>
        <v>#REF!</v>
      </c>
    </row>
    <row r="67" spans="1:26" hidden="1" x14ac:dyDescent="0.25">
      <c r="A67" s="278"/>
      <c r="B67" s="233"/>
      <c r="C67" s="233" t="e">
        <f>C64+C65+C66</f>
        <v>#REF!</v>
      </c>
      <c r="D67" s="233" t="e">
        <f t="shared" ref="D67:W67" si="52">D64+D65+D66</f>
        <v>#REF!</v>
      </c>
      <c r="E67" s="183" t="e">
        <f t="shared" si="52"/>
        <v>#REF!</v>
      </c>
      <c r="F67" s="233" t="e">
        <f t="shared" si="52"/>
        <v>#REF!</v>
      </c>
      <c r="G67" s="233" t="e">
        <f t="shared" si="52"/>
        <v>#REF!</v>
      </c>
      <c r="H67" s="233" t="e">
        <f t="shared" si="52"/>
        <v>#REF!</v>
      </c>
      <c r="I67" s="233" t="e">
        <f t="shared" si="52"/>
        <v>#REF!</v>
      </c>
      <c r="J67" s="233" t="e">
        <f t="shared" si="52"/>
        <v>#REF!</v>
      </c>
      <c r="K67" s="233" t="e">
        <f t="shared" si="52"/>
        <v>#REF!</v>
      </c>
      <c r="L67" s="233" t="e">
        <f t="shared" si="52"/>
        <v>#REF!</v>
      </c>
      <c r="M67" s="233" t="e">
        <f t="shared" si="52"/>
        <v>#REF!</v>
      </c>
      <c r="N67" s="233" t="e">
        <f t="shared" si="52"/>
        <v>#REF!</v>
      </c>
      <c r="O67" s="233" t="e">
        <f t="shared" si="52"/>
        <v>#REF!</v>
      </c>
      <c r="P67" s="233" t="e">
        <f t="shared" si="52"/>
        <v>#REF!</v>
      </c>
      <c r="Q67" s="233" t="e">
        <f t="shared" si="52"/>
        <v>#REF!</v>
      </c>
      <c r="R67" s="233" t="e">
        <f t="shared" si="52"/>
        <v>#REF!</v>
      </c>
      <c r="S67" s="233" t="e">
        <f t="shared" si="52"/>
        <v>#REF!</v>
      </c>
      <c r="T67" s="233" t="e">
        <f t="shared" si="52"/>
        <v>#REF!</v>
      </c>
      <c r="U67" s="233" t="e">
        <f t="shared" si="52"/>
        <v>#REF!</v>
      </c>
      <c r="V67" s="233" t="e">
        <f t="shared" si="52"/>
        <v>#REF!</v>
      </c>
      <c r="W67" s="233" t="e">
        <f t="shared" si="52"/>
        <v>#REF!</v>
      </c>
      <c r="X67" s="234" t="e">
        <f>V67+W67</f>
        <v>#REF!</v>
      </c>
      <c r="Y67" s="22" t="e">
        <f>V67+#REF!</f>
        <v>#REF!</v>
      </c>
      <c r="Z67" s="22" t="e">
        <f>W67+#REF!</f>
        <v>#REF!</v>
      </c>
    </row>
    <row r="68" spans="1:26" hidden="1" x14ac:dyDescent="0.25">
      <c r="A68" s="278"/>
      <c r="B68" s="233"/>
      <c r="C68" s="233"/>
      <c r="D68" s="233"/>
      <c r="E68" s="183"/>
      <c r="F68" s="233"/>
      <c r="G68" s="233"/>
      <c r="H68" s="233"/>
      <c r="I68" s="233"/>
      <c r="J68" s="233"/>
      <c r="K68" s="233"/>
      <c r="L68" s="233"/>
      <c r="M68" s="233"/>
      <c r="N68" s="233"/>
      <c r="O68" s="233"/>
      <c r="P68" s="233"/>
      <c r="Q68" s="233"/>
      <c r="R68" s="233"/>
      <c r="S68" s="233"/>
      <c r="T68" s="233"/>
      <c r="U68" s="233"/>
      <c r="V68" s="233"/>
      <c r="W68" s="233"/>
      <c r="X68" s="233"/>
    </row>
    <row r="69" spans="1:26" hidden="1" x14ac:dyDescent="0.25">
      <c r="E69" s="51"/>
    </row>
    <row r="70" spans="1:26" hidden="1" x14ac:dyDescent="0.25">
      <c r="E70" s="51"/>
    </row>
    <row r="71" spans="1:26" hidden="1" x14ac:dyDescent="0.25">
      <c r="E71" s="51"/>
    </row>
    <row r="72" spans="1:26" hidden="1" x14ac:dyDescent="0.25">
      <c r="E72" s="51"/>
    </row>
    <row r="73" spans="1:26" hidden="1" x14ac:dyDescent="0.25">
      <c r="E73" s="51"/>
    </row>
    <row r="74" spans="1:26" hidden="1" x14ac:dyDescent="0.25">
      <c r="E74" s="51"/>
    </row>
    <row r="75" spans="1:26" hidden="1" x14ac:dyDescent="0.25">
      <c r="E75" s="51"/>
    </row>
    <row r="76" spans="1:26" x14ac:dyDescent="0.25">
      <c r="E76" s="51"/>
    </row>
    <row r="77" spans="1:26" x14ac:dyDescent="0.25">
      <c r="E77" s="51"/>
    </row>
    <row r="78" spans="1:26" x14ac:dyDescent="0.25">
      <c r="E78" s="51"/>
    </row>
    <row r="79" spans="1:26" x14ac:dyDescent="0.25">
      <c r="E79" s="51"/>
    </row>
    <row r="80" spans="1:26" x14ac:dyDescent="0.25">
      <c r="E80" s="51"/>
    </row>
    <row r="81" spans="5:5" x14ac:dyDescent="0.25">
      <c r="E81" s="51"/>
    </row>
    <row r="82" spans="5:5" x14ac:dyDescent="0.25">
      <c r="E82" s="51"/>
    </row>
    <row r="83" spans="5:5" x14ac:dyDescent="0.25">
      <c r="E83" s="51"/>
    </row>
    <row r="84" spans="5:5" x14ac:dyDescent="0.25">
      <c r="E84" s="51"/>
    </row>
    <row r="85" spans="5:5" x14ac:dyDescent="0.25">
      <c r="E85" s="51"/>
    </row>
    <row r="86" spans="5:5" x14ac:dyDescent="0.25">
      <c r="E86" s="51"/>
    </row>
    <row r="87" spans="5:5" x14ac:dyDescent="0.25">
      <c r="E87" s="51"/>
    </row>
    <row r="88" spans="5:5" x14ac:dyDescent="0.25">
      <c r="E88" s="51"/>
    </row>
    <row r="89" spans="5:5" x14ac:dyDescent="0.25">
      <c r="E89" s="51"/>
    </row>
    <row r="90" spans="5:5" x14ac:dyDescent="0.25">
      <c r="E90" s="51"/>
    </row>
    <row r="91" spans="5:5" x14ac:dyDescent="0.25">
      <c r="E91" s="51"/>
    </row>
    <row r="92" spans="5:5" x14ac:dyDescent="0.25">
      <c r="E92" s="51"/>
    </row>
    <row r="93" spans="5:5" x14ac:dyDescent="0.25">
      <c r="E93" s="51"/>
    </row>
    <row r="94" spans="5:5" x14ac:dyDescent="0.25">
      <c r="E94" s="51"/>
    </row>
    <row r="95" spans="5:5" x14ac:dyDescent="0.25">
      <c r="E95" s="51"/>
    </row>
    <row r="96" spans="5:5" x14ac:dyDescent="0.25">
      <c r="E96" s="51"/>
    </row>
    <row r="97" spans="5:5" x14ac:dyDescent="0.25">
      <c r="E97" s="51"/>
    </row>
    <row r="98" spans="5:5" x14ac:dyDescent="0.25">
      <c r="E98" s="51"/>
    </row>
    <row r="99" spans="5:5" x14ac:dyDescent="0.25">
      <c r="E99" s="51"/>
    </row>
    <row r="100" spans="5:5" x14ac:dyDescent="0.25">
      <c r="E100" s="51"/>
    </row>
    <row r="101" spans="5:5" x14ac:dyDescent="0.25">
      <c r="E101" s="51"/>
    </row>
    <row r="102" spans="5:5" x14ac:dyDescent="0.25">
      <c r="E102" s="51"/>
    </row>
    <row r="103" spans="5:5" x14ac:dyDescent="0.25">
      <c r="E103" s="51"/>
    </row>
    <row r="104" spans="5:5" x14ac:dyDescent="0.25">
      <c r="E104" s="51"/>
    </row>
    <row r="105" spans="5:5" x14ac:dyDescent="0.25">
      <c r="E105" s="51"/>
    </row>
  </sheetData>
  <autoFilter ref="A8:AS57"/>
  <mergeCells count="38">
    <mergeCell ref="AD6:AF6"/>
    <mergeCell ref="Q6:Q7"/>
    <mergeCell ref="G55:H55"/>
    <mergeCell ref="I55:J55"/>
    <mergeCell ref="K55:L55"/>
    <mergeCell ref="M55:N55"/>
    <mergeCell ref="U9:U51"/>
    <mergeCell ref="A52:B52"/>
    <mergeCell ref="S6:S7"/>
    <mergeCell ref="T6:T7"/>
    <mergeCell ref="U6:U7"/>
    <mergeCell ref="F6:F7"/>
    <mergeCell ref="G6:G7"/>
    <mergeCell ref="H6:H7"/>
    <mergeCell ref="I6:I7"/>
    <mergeCell ref="J6:J7"/>
    <mergeCell ref="L6:L7"/>
    <mergeCell ref="M6:M7"/>
    <mergeCell ref="N6:O6"/>
    <mergeCell ref="P6:P7"/>
    <mergeCell ref="R6:R7"/>
    <mergeCell ref="K6:K7"/>
    <mergeCell ref="AE1:AH1"/>
    <mergeCell ref="A2:AH2"/>
    <mergeCell ref="A3:AH3"/>
    <mergeCell ref="A5:A7"/>
    <mergeCell ref="B5:B7"/>
    <mergeCell ref="C5:C7"/>
    <mergeCell ref="D5:W5"/>
    <mergeCell ref="X5:AH5"/>
    <mergeCell ref="D6:D7"/>
    <mergeCell ref="E6:E7"/>
    <mergeCell ref="AA6:AC6"/>
    <mergeCell ref="AG6:AG7"/>
    <mergeCell ref="AH6:AH7"/>
    <mergeCell ref="V6:V7"/>
    <mergeCell ref="W6:W7"/>
    <mergeCell ref="X6:Z6"/>
  </mergeCells>
  <printOptions horizontalCentered="1"/>
  <pageMargins left="0" right="0" top="0" bottom="0" header="0.31496062992125984" footer="0.31496062992125984"/>
  <pageSetup paperSize="9" scale="36" orientation="landscape"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S66"/>
  <sheetViews>
    <sheetView view="pageBreakPreview" zoomScale="80" zoomScaleNormal="70" zoomScaleSheetLayoutView="80" workbookViewId="0">
      <pane xSplit="3" ySplit="8" topLeftCell="D18"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9.6640625" style="98" customWidth="1"/>
    <col min="2" max="2" width="30.77734375" style="99" customWidth="1"/>
    <col min="3" max="3" width="13.77734375" style="99" customWidth="1"/>
    <col min="4" max="4" width="13.44140625" style="99" customWidth="1"/>
    <col min="5" max="5" width="13" style="99" customWidth="1"/>
    <col min="6" max="6" width="14.6640625" style="99" customWidth="1"/>
    <col min="7" max="7" width="11.44140625" style="99" customWidth="1"/>
    <col min="8" max="8" width="11.6640625" style="99" customWidth="1"/>
    <col min="9" max="9" width="11.33203125" style="99" customWidth="1"/>
    <col min="10" max="10" width="16" style="99" customWidth="1"/>
    <col min="11" max="11" width="13.109375" style="99" customWidth="1"/>
    <col min="12" max="17" width="11.44140625" style="99" customWidth="1"/>
    <col min="18" max="18" width="11.6640625" style="99" customWidth="1"/>
    <col min="19" max="19" width="14.6640625" style="99" customWidth="1"/>
    <col min="20" max="20" width="12.33203125" style="99" customWidth="1"/>
    <col min="21" max="21" width="11.6640625" style="99" customWidth="1"/>
    <col min="22" max="22" width="13.77734375" style="99" customWidth="1"/>
    <col min="23" max="23" width="13" style="99" customWidth="1"/>
    <col min="24" max="24" width="11" style="99" customWidth="1"/>
    <col min="25" max="25" width="12.109375" style="99" customWidth="1"/>
    <col min="26" max="26" width="9.6640625" style="99" customWidth="1"/>
    <col min="27" max="27" width="8.44140625" style="99" customWidth="1"/>
    <col min="28" max="28" width="9.109375" style="99" customWidth="1"/>
    <col min="29" max="29" width="9" style="99" customWidth="1"/>
    <col min="30" max="30" width="8.44140625" style="99" customWidth="1"/>
    <col min="31" max="31" width="9.109375" style="99" customWidth="1"/>
    <col min="32" max="32" width="10" style="99" customWidth="1"/>
    <col min="33" max="33" width="9.33203125" style="99" customWidth="1"/>
    <col min="34" max="34" width="10.6640625" style="99" customWidth="1"/>
    <col min="35" max="35" width="11.109375" style="99" customWidth="1"/>
    <col min="36" max="36" width="9.33203125" style="99"/>
    <col min="37" max="37" width="10.6640625" style="99" bestFit="1" customWidth="1"/>
    <col min="38" max="38" width="9.33203125" style="99" hidden="1" customWidth="1"/>
    <col min="39" max="39" width="13" style="99" hidden="1" customWidth="1"/>
    <col min="40" max="40" width="14.109375" style="211" bestFit="1" customWidth="1"/>
    <col min="41" max="42" width="9.33203125" style="211"/>
    <col min="43" max="43" width="11.33203125" style="211" bestFit="1" customWidth="1"/>
    <col min="44" max="16384" width="9.33203125" style="99"/>
  </cols>
  <sheetData>
    <row r="1" spans="1:45" ht="23.25" customHeight="1" x14ac:dyDescent="0.25">
      <c r="AE1" s="1546"/>
      <c r="AF1" s="1546"/>
      <c r="AG1" s="1546"/>
      <c r="AH1" s="1546"/>
    </row>
    <row r="2" spans="1:45" ht="24" customHeight="1" x14ac:dyDescent="0.25">
      <c r="A2" s="1547" t="s">
        <v>162</v>
      </c>
      <c r="B2" s="1547"/>
      <c r="C2" s="1547"/>
      <c r="D2" s="1547"/>
      <c r="E2" s="1547"/>
      <c r="F2" s="1547"/>
      <c r="G2" s="1547"/>
      <c r="H2" s="1547"/>
      <c r="I2" s="1547"/>
      <c r="J2" s="1547"/>
      <c r="K2" s="1547"/>
      <c r="L2" s="1547"/>
      <c r="M2" s="1547"/>
      <c r="N2" s="1547"/>
      <c r="O2" s="1547"/>
      <c r="P2" s="1547"/>
      <c r="Q2" s="1547"/>
      <c r="R2" s="1547"/>
      <c r="S2" s="1547"/>
      <c r="T2" s="1547"/>
      <c r="U2" s="1547"/>
      <c r="V2" s="1547"/>
      <c r="W2" s="1547"/>
      <c r="X2" s="1547"/>
      <c r="Y2" s="1547"/>
      <c r="Z2" s="1547"/>
      <c r="AA2" s="1547"/>
      <c r="AB2" s="1547"/>
      <c r="AC2" s="1547"/>
      <c r="AD2" s="1547"/>
      <c r="AE2" s="1547"/>
      <c r="AF2" s="1547"/>
      <c r="AG2" s="1547"/>
      <c r="AH2" s="1547"/>
      <c r="AI2" s="235"/>
    </row>
    <row r="3" spans="1:45" ht="24.75" customHeight="1" x14ac:dyDescent="0.25">
      <c r="A3" s="1548"/>
      <c r="B3" s="1548"/>
      <c r="C3" s="1548"/>
      <c r="D3" s="1548"/>
      <c r="E3" s="1548"/>
      <c r="F3" s="1548"/>
      <c r="G3" s="1548"/>
      <c r="H3" s="1548"/>
      <c r="I3" s="1548"/>
      <c r="J3" s="1548"/>
      <c r="K3" s="1548"/>
      <c r="L3" s="1548"/>
      <c r="M3" s="1548"/>
      <c r="N3" s="1548"/>
      <c r="O3" s="1548"/>
      <c r="P3" s="1548"/>
      <c r="Q3" s="1548"/>
      <c r="R3" s="1548"/>
      <c r="S3" s="1548"/>
      <c r="T3" s="1548"/>
      <c r="U3" s="1548"/>
      <c r="V3" s="1548"/>
      <c r="W3" s="1548"/>
      <c r="X3" s="1548"/>
      <c r="Y3" s="1548"/>
      <c r="Z3" s="1548"/>
      <c r="AA3" s="1548"/>
      <c r="AB3" s="1548"/>
      <c r="AC3" s="1548"/>
      <c r="AD3" s="1548"/>
      <c r="AE3" s="1548"/>
      <c r="AF3" s="1548"/>
      <c r="AG3" s="1548"/>
      <c r="AH3" s="1548"/>
      <c r="AI3" s="287"/>
    </row>
    <row r="4" spans="1:45" x14ac:dyDescent="0.25">
      <c r="L4" s="38">
        <v>0.15451000000000001</v>
      </c>
    </row>
    <row r="5" spans="1:45" ht="38.25" customHeight="1" x14ac:dyDescent="0.25">
      <c r="A5" s="1549" t="s">
        <v>78</v>
      </c>
      <c r="B5" s="1549" t="s">
        <v>77</v>
      </c>
      <c r="C5" s="1550" t="s">
        <v>0</v>
      </c>
      <c r="D5" s="1550" t="s">
        <v>3</v>
      </c>
      <c r="E5" s="1550"/>
      <c r="F5" s="1550"/>
      <c r="G5" s="1550"/>
      <c r="H5" s="1550"/>
      <c r="I5" s="1550"/>
      <c r="J5" s="1550"/>
      <c r="K5" s="1550"/>
      <c r="L5" s="1550"/>
      <c r="M5" s="1550"/>
      <c r="N5" s="1550"/>
      <c r="O5" s="1550"/>
      <c r="P5" s="1550"/>
      <c r="Q5" s="1550"/>
      <c r="R5" s="1550"/>
      <c r="S5" s="1550"/>
      <c r="T5" s="1550"/>
      <c r="U5" s="1550"/>
      <c r="V5" s="1550"/>
      <c r="W5" s="1550"/>
      <c r="X5" s="1550" t="s">
        <v>4</v>
      </c>
      <c r="Y5" s="1550"/>
      <c r="Z5" s="1550"/>
      <c r="AA5" s="1550"/>
      <c r="AB5" s="1550"/>
      <c r="AC5" s="1550"/>
      <c r="AD5" s="1550"/>
      <c r="AE5" s="1550"/>
      <c r="AF5" s="1550"/>
      <c r="AG5" s="1550"/>
      <c r="AH5" s="1550"/>
    </row>
    <row r="6" spans="1:45" ht="60" customHeight="1" x14ac:dyDescent="0.25">
      <c r="A6" s="1549"/>
      <c r="B6" s="1549"/>
      <c r="C6" s="1550"/>
      <c r="D6" s="1551" t="s">
        <v>68</v>
      </c>
      <c r="E6" s="1551" t="s">
        <v>69</v>
      </c>
      <c r="F6" s="1551" t="s">
        <v>89</v>
      </c>
      <c r="G6" s="1551" t="s">
        <v>1</v>
      </c>
      <c r="H6" s="1551" t="s">
        <v>2</v>
      </c>
      <c r="I6" s="1551" t="s">
        <v>70</v>
      </c>
      <c r="J6" s="1551" t="s">
        <v>61</v>
      </c>
      <c r="K6" s="1551" t="s">
        <v>27</v>
      </c>
      <c r="L6" s="1553" t="s">
        <v>65</v>
      </c>
      <c r="M6" s="1553" t="s">
        <v>86</v>
      </c>
      <c r="N6" s="1554" t="s">
        <v>90</v>
      </c>
      <c r="O6" s="1554"/>
      <c r="P6" s="1554" t="s">
        <v>88</v>
      </c>
      <c r="Q6" s="1553" t="s">
        <v>82</v>
      </c>
      <c r="R6" s="1551" t="s">
        <v>83</v>
      </c>
      <c r="S6" s="1553" t="s">
        <v>87</v>
      </c>
      <c r="T6" s="1551" t="s">
        <v>84</v>
      </c>
      <c r="U6" s="1551" t="s">
        <v>9</v>
      </c>
      <c r="V6" s="1551" t="s">
        <v>7</v>
      </c>
      <c r="W6" s="1551" t="s">
        <v>85</v>
      </c>
      <c r="X6" s="1550" t="s">
        <v>10</v>
      </c>
      <c r="Y6" s="1550"/>
      <c r="Z6" s="1550"/>
      <c r="AA6" s="1550" t="s">
        <v>11</v>
      </c>
      <c r="AB6" s="1550"/>
      <c r="AC6" s="1550"/>
      <c r="AD6" s="1550" t="s">
        <v>12</v>
      </c>
      <c r="AE6" s="1550"/>
      <c r="AF6" s="1550"/>
      <c r="AG6" s="1550" t="s">
        <v>13</v>
      </c>
      <c r="AH6" s="1550" t="s">
        <v>73</v>
      </c>
    </row>
    <row r="7" spans="1:45" ht="97.5" customHeight="1" x14ac:dyDescent="0.25">
      <c r="A7" s="1549"/>
      <c r="B7" s="1549"/>
      <c r="C7" s="1550"/>
      <c r="D7" s="1551"/>
      <c r="E7" s="1551"/>
      <c r="F7" s="1551"/>
      <c r="G7" s="1551"/>
      <c r="H7" s="1551"/>
      <c r="I7" s="1551"/>
      <c r="J7" s="1551"/>
      <c r="K7" s="1551"/>
      <c r="L7" s="1553" t="s">
        <v>66</v>
      </c>
      <c r="M7" s="1553"/>
      <c r="N7" s="286" t="s">
        <v>80</v>
      </c>
      <c r="O7" s="286" t="s">
        <v>81</v>
      </c>
      <c r="P7" s="1554"/>
      <c r="Q7" s="1553"/>
      <c r="R7" s="1551"/>
      <c r="S7" s="1553" t="s">
        <v>67</v>
      </c>
      <c r="T7" s="1551"/>
      <c r="U7" s="1551"/>
      <c r="V7" s="1551"/>
      <c r="W7" s="1551"/>
      <c r="X7" s="285" t="s">
        <v>5</v>
      </c>
      <c r="Y7" s="285" t="s">
        <v>6</v>
      </c>
      <c r="Z7" s="285" t="s">
        <v>74</v>
      </c>
      <c r="AA7" s="285" t="s">
        <v>5</v>
      </c>
      <c r="AB7" s="285" t="s">
        <v>6</v>
      </c>
      <c r="AC7" s="285" t="s">
        <v>75</v>
      </c>
      <c r="AD7" s="285" t="s">
        <v>5</v>
      </c>
      <c r="AE7" s="285" t="s">
        <v>6</v>
      </c>
      <c r="AF7" s="285" t="s">
        <v>76</v>
      </c>
      <c r="AG7" s="1550"/>
      <c r="AH7" s="1550"/>
      <c r="AK7" s="98" t="s">
        <v>64</v>
      </c>
      <c r="AL7" s="98" t="s">
        <v>62</v>
      </c>
      <c r="AM7" s="98" t="s">
        <v>63</v>
      </c>
    </row>
    <row r="8" spans="1:45" ht="15.75" customHeight="1" x14ac:dyDescent="0.25">
      <c r="A8" s="284">
        <v>1</v>
      </c>
      <c r="B8" s="284">
        <v>2</v>
      </c>
      <c r="C8" s="284">
        <v>3</v>
      </c>
      <c r="D8" s="284">
        <v>4</v>
      </c>
      <c r="E8" s="284">
        <v>5</v>
      </c>
      <c r="F8" s="284">
        <v>6</v>
      </c>
      <c r="G8" s="284">
        <v>7</v>
      </c>
      <c r="H8" s="284">
        <v>8</v>
      </c>
      <c r="I8" s="284">
        <v>9</v>
      </c>
      <c r="J8" s="284">
        <v>10</v>
      </c>
      <c r="K8" s="284">
        <v>11</v>
      </c>
      <c r="L8" s="284">
        <v>12</v>
      </c>
      <c r="M8" s="284">
        <v>13</v>
      </c>
      <c r="N8" s="284">
        <v>14</v>
      </c>
      <c r="O8" s="284">
        <v>15</v>
      </c>
      <c r="P8" s="284">
        <v>16</v>
      </c>
      <c r="Q8" s="284">
        <v>17</v>
      </c>
      <c r="R8" s="284">
        <v>18</v>
      </c>
      <c r="S8" s="284">
        <v>19</v>
      </c>
      <c r="T8" s="284">
        <v>20</v>
      </c>
      <c r="U8" s="284">
        <v>21</v>
      </c>
      <c r="V8" s="284">
        <v>22</v>
      </c>
      <c r="W8" s="284">
        <v>23</v>
      </c>
      <c r="X8" s="284">
        <v>25</v>
      </c>
      <c r="Y8" s="284">
        <v>26</v>
      </c>
      <c r="Z8" s="284">
        <v>27</v>
      </c>
      <c r="AA8" s="284">
        <v>28</v>
      </c>
      <c r="AB8" s="284">
        <v>29</v>
      </c>
      <c r="AC8" s="284">
        <v>30</v>
      </c>
      <c r="AD8" s="284">
        <v>31</v>
      </c>
      <c r="AE8" s="284">
        <v>32</v>
      </c>
      <c r="AF8" s="284">
        <v>33</v>
      </c>
      <c r="AG8" s="284">
        <v>34</v>
      </c>
      <c r="AH8" s="284">
        <v>35</v>
      </c>
      <c r="AN8" s="212" t="s">
        <v>116</v>
      </c>
      <c r="AO8" s="212" t="s">
        <v>117</v>
      </c>
      <c r="AP8" s="212" t="s">
        <v>118</v>
      </c>
      <c r="AQ8" s="212" t="s">
        <v>119</v>
      </c>
    </row>
    <row r="9" spans="1:45" ht="16.5" customHeight="1" x14ac:dyDescent="0.25">
      <c r="A9" s="284">
        <v>1</v>
      </c>
      <c r="B9" s="236" t="s">
        <v>14</v>
      </c>
      <c r="C9" s="284">
        <v>1</v>
      </c>
      <c r="D9" s="237">
        <v>25.672999999999998</v>
      </c>
      <c r="E9" s="169">
        <f t="shared" ref="E9:E24" si="0">C9*D9</f>
        <v>25.67</v>
      </c>
      <c r="F9" s="170">
        <f t="shared" ref="F9:F24" si="1">E9*12</f>
        <v>308</v>
      </c>
      <c r="G9" s="95"/>
      <c r="H9" s="95"/>
      <c r="I9" s="95"/>
      <c r="J9" s="95"/>
      <c r="K9" s="95">
        <f>F9*0.3</f>
        <v>92.4</v>
      </c>
      <c r="L9" s="95">
        <f>F9*$L$4</f>
        <v>47.6</v>
      </c>
      <c r="M9" s="95">
        <f t="shared" ref="M9:M24" si="2">F9+G9+H9+I9+J9+K9+L9</f>
        <v>448</v>
      </c>
      <c r="N9" s="111">
        <v>0.42</v>
      </c>
      <c r="O9" s="95">
        <f t="shared" ref="O9:O24" si="3">M9*N9</f>
        <v>188.2</v>
      </c>
      <c r="P9" s="95">
        <f t="shared" ref="P9:P24" si="4">M9+O9</f>
        <v>636.20000000000005</v>
      </c>
      <c r="Q9" s="95">
        <f t="shared" ref="Q9:Q24" si="5">P9*0.8</f>
        <v>509</v>
      </c>
      <c r="R9" s="95">
        <f t="shared" ref="R9:R24" si="6">P9*0.8</f>
        <v>509</v>
      </c>
      <c r="S9" s="95">
        <f t="shared" ref="S9:S24" si="7">(P9+Q9+R9)*0.032</f>
        <v>52.9</v>
      </c>
      <c r="T9" s="95">
        <f t="shared" ref="T9:T24" si="8">P9+Q9+R9+S9</f>
        <v>1707.1</v>
      </c>
      <c r="U9" s="1947">
        <v>1</v>
      </c>
      <c r="V9" s="95">
        <f>T9*$U$9</f>
        <v>1707.1</v>
      </c>
      <c r="W9" s="95">
        <f>AQ9</f>
        <v>424.3</v>
      </c>
      <c r="X9" s="284">
        <v>1</v>
      </c>
      <c r="Y9" s="112">
        <v>30</v>
      </c>
      <c r="Z9" s="113">
        <f t="shared" ref="Z9:Z24" si="9">X9*Y9</f>
        <v>30</v>
      </c>
      <c r="AA9" s="284"/>
      <c r="AB9" s="112">
        <v>15</v>
      </c>
      <c r="AC9" s="113">
        <f t="shared" ref="AC9:AC24" si="10">AA9*AB9</f>
        <v>0</v>
      </c>
      <c r="AD9" s="284">
        <v>1</v>
      </c>
      <c r="AE9" s="112">
        <v>30</v>
      </c>
      <c r="AF9" s="113">
        <f t="shared" ref="AF9:AF24" si="11">AD9*AE9</f>
        <v>30</v>
      </c>
      <c r="AG9" s="113">
        <f t="shared" ref="AG9:AG24" si="12">(Z9+AC9+AF9)*1%*30</f>
        <v>18</v>
      </c>
      <c r="AH9" s="113">
        <f t="shared" ref="AH9:AH24" si="13">Z9+AC9+AF9+AG9</f>
        <v>78</v>
      </c>
      <c r="AI9" s="114">
        <f t="shared" ref="AI9:AI17" si="14">V9/12/C9*1000</f>
        <v>142258.29999999999</v>
      </c>
      <c r="AK9" s="114">
        <f t="shared" ref="AK9:AK24" si="15">V9/C9</f>
        <v>1707.1</v>
      </c>
      <c r="AL9" s="114">
        <f>((979*0.302)+((AK9-979)*0.182))</f>
        <v>428.2</v>
      </c>
      <c r="AM9" s="115">
        <f>AL9/AK9</f>
        <v>0.251</v>
      </c>
      <c r="AN9" s="50">
        <f>1150*0.22+(AK9-1150)*0.1</f>
        <v>308.7</v>
      </c>
      <c r="AO9" s="50">
        <f>865*0.029</f>
        <v>25.1</v>
      </c>
      <c r="AP9" s="50">
        <f>AK9*0.053</f>
        <v>90.5</v>
      </c>
      <c r="AQ9" s="50">
        <f t="shared" ref="AQ9:AQ24" si="16">SUM(AN9:AP9)*C9</f>
        <v>424.3</v>
      </c>
      <c r="AS9" s="99">
        <f t="shared" ref="AS9:AS17" si="17">D9*1.5</f>
        <v>38.509500000000003</v>
      </c>
    </row>
    <row r="10" spans="1:45" x14ac:dyDescent="0.25">
      <c r="A10" s="284">
        <v>2</v>
      </c>
      <c r="B10" s="236" t="s">
        <v>127</v>
      </c>
      <c r="C10" s="284">
        <v>1</v>
      </c>
      <c r="D10" s="237">
        <v>17.971</v>
      </c>
      <c r="E10" s="169">
        <f>C10*D10</f>
        <v>17.97</v>
      </c>
      <c r="F10" s="170">
        <f t="shared" si="1"/>
        <v>215.6</v>
      </c>
      <c r="G10" s="95"/>
      <c r="H10" s="95">
        <v>11.2</v>
      </c>
      <c r="I10" s="95"/>
      <c r="J10" s="95"/>
      <c r="K10" s="95">
        <f>F10*0.3+D10*0.05*6.5</f>
        <v>70.5</v>
      </c>
      <c r="L10" s="95">
        <f t="shared" ref="L10:L23" si="18">F10*$L$4</f>
        <v>33.299999999999997</v>
      </c>
      <c r="M10" s="95">
        <f t="shared" si="2"/>
        <v>330.6</v>
      </c>
      <c r="N10" s="111">
        <v>0.47</v>
      </c>
      <c r="O10" s="95">
        <f t="shared" si="3"/>
        <v>155.4</v>
      </c>
      <c r="P10" s="95">
        <f t="shared" si="4"/>
        <v>486</v>
      </c>
      <c r="Q10" s="95">
        <f t="shared" si="5"/>
        <v>388.8</v>
      </c>
      <c r="R10" s="95">
        <f t="shared" si="6"/>
        <v>388.8</v>
      </c>
      <c r="S10" s="95">
        <f t="shared" si="7"/>
        <v>40.4</v>
      </c>
      <c r="T10" s="95">
        <f t="shared" si="8"/>
        <v>1304</v>
      </c>
      <c r="U10" s="1948"/>
      <c r="V10" s="95">
        <f>T10*$U$9</f>
        <v>1304</v>
      </c>
      <c r="W10" s="95">
        <f>AQ10</f>
        <v>362.6</v>
      </c>
      <c r="X10" s="284">
        <v>1</v>
      </c>
      <c r="Y10" s="112">
        <v>30</v>
      </c>
      <c r="Z10" s="113">
        <f t="shared" si="9"/>
        <v>30</v>
      </c>
      <c r="AA10" s="284"/>
      <c r="AB10" s="112">
        <v>15</v>
      </c>
      <c r="AC10" s="113">
        <f t="shared" si="10"/>
        <v>0</v>
      </c>
      <c r="AD10" s="284"/>
      <c r="AE10" s="112">
        <v>30</v>
      </c>
      <c r="AF10" s="113">
        <f t="shared" si="11"/>
        <v>0</v>
      </c>
      <c r="AG10" s="113">
        <f t="shared" si="12"/>
        <v>9</v>
      </c>
      <c r="AH10" s="113">
        <f t="shared" si="13"/>
        <v>39</v>
      </c>
      <c r="AI10" s="114">
        <f t="shared" si="14"/>
        <v>108666.7</v>
      </c>
      <c r="AK10" s="114">
        <f t="shared" si="15"/>
        <v>1304</v>
      </c>
      <c r="AL10" s="114">
        <f t="shared" ref="AL10:AL24" si="19">((979*0.302)+((AK10-979)*0.182))</f>
        <v>354.8</v>
      </c>
      <c r="AM10" s="115">
        <f>AL10/AK10</f>
        <v>0.27200000000000002</v>
      </c>
      <c r="AN10" s="50">
        <f>1150*0.22+(AK10-1150)*0.1</f>
        <v>268.39999999999998</v>
      </c>
      <c r="AO10" s="50">
        <f>865*0.029</f>
        <v>25.1</v>
      </c>
      <c r="AP10" s="50">
        <f>AK10*0.053</f>
        <v>69.099999999999994</v>
      </c>
      <c r="AQ10" s="50">
        <f t="shared" si="16"/>
        <v>362.6</v>
      </c>
      <c r="AS10" s="99">
        <f t="shared" si="17"/>
        <v>26.956499999999998</v>
      </c>
    </row>
    <row r="11" spans="1:45" x14ac:dyDescent="0.25">
      <c r="A11" s="284">
        <v>3</v>
      </c>
      <c r="B11" s="236" t="s">
        <v>23</v>
      </c>
      <c r="C11" s="238">
        <v>4</v>
      </c>
      <c r="D11" s="237">
        <v>11.061999999999999</v>
      </c>
      <c r="E11" s="111">
        <f t="shared" si="0"/>
        <v>44.25</v>
      </c>
      <c r="F11" s="95">
        <f t="shared" si="1"/>
        <v>531</v>
      </c>
      <c r="G11" s="95"/>
      <c r="H11" s="95">
        <f>7.01+7.789+7.01</f>
        <v>21.8</v>
      </c>
      <c r="I11" s="95"/>
      <c r="J11" s="95"/>
      <c r="K11" s="95">
        <f>F11*0.25*2+F11*0.3+D11*0.05*11.5</f>
        <v>431.2</v>
      </c>
      <c r="L11" s="95">
        <f t="shared" si="18"/>
        <v>82</v>
      </c>
      <c r="M11" s="95">
        <f t="shared" si="2"/>
        <v>1066</v>
      </c>
      <c r="N11" s="111">
        <v>0.43</v>
      </c>
      <c r="O11" s="95">
        <f t="shared" si="3"/>
        <v>458.4</v>
      </c>
      <c r="P11" s="95">
        <f t="shared" si="4"/>
        <v>1524.4</v>
      </c>
      <c r="Q11" s="95">
        <f t="shared" si="5"/>
        <v>1219.5</v>
      </c>
      <c r="R11" s="95">
        <f t="shared" si="6"/>
        <v>1219.5</v>
      </c>
      <c r="S11" s="95">
        <f t="shared" si="7"/>
        <v>126.8</v>
      </c>
      <c r="T11" s="95">
        <f t="shared" si="8"/>
        <v>4090.2</v>
      </c>
      <c r="U11" s="1948"/>
      <c r="V11" s="95">
        <f t="shared" ref="V11:V23" si="20">T11*$U$9</f>
        <v>4090.2</v>
      </c>
      <c r="W11" s="95">
        <f>AQ11</f>
        <v>1217.2</v>
      </c>
      <c r="X11" s="239">
        <v>2</v>
      </c>
      <c r="Y11" s="240">
        <v>30</v>
      </c>
      <c r="Z11" s="241">
        <f t="shared" si="9"/>
        <v>60</v>
      </c>
      <c r="AA11" s="239">
        <v>1</v>
      </c>
      <c r="AB11" s="240">
        <v>15</v>
      </c>
      <c r="AC11" s="241">
        <f t="shared" si="10"/>
        <v>15</v>
      </c>
      <c r="AD11" s="239">
        <v>1</v>
      </c>
      <c r="AE11" s="240">
        <v>30</v>
      </c>
      <c r="AF11" s="241">
        <f t="shared" si="11"/>
        <v>30</v>
      </c>
      <c r="AG11" s="241">
        <f t="shared" si="12"/>
        <v>31.5</v>
      </c>
      <c r="AH11" s="241">
        <f t="shared" si="13"/>
        <v>136.5</v>
      </c>
      <c r="AI11" s="114">
        <f t="shared" si="14"/>
        <v>85212.5</v>
      </c>
      <c r="AK11" s="114">
        <f t="shared" si="15"/>
        <v>1022.6</v>
      </c>
      <c r="AL11" s="114">
        <f t="shared" si="19"/>
        <v>303.60000000000002</v>
      </c>
      <c r="AM11" s="115">
        <v>0.30199999999999999</v>
      </c>
      <c r="AN11" s="50">
        <f t="shared" ref="AN11:AN24" si="21">AK11*0.22</f>
        <v>225</v>
      </c>
      <c r="AO11" s="50">
        <f>865*0.029</f>
        <v>25.1</v>
      </c>
      <c r="AP11" s="50">
        <f>AK11*0.053</f>
        <v>54.2</v>
      </c>
      <c r="AQ11" s="50">
        <f t="shared" si="16"/>
        <v>1217.2</v>
      </c>
      <c r="AS11" s="99">
        <f t="shared" si="17"/>
        <v>16.593</v>
      </c>
    </row>
    <row r="12" spans="1:45" x14ac:dyDescent="0.25">
      <c r="A12" s="284">
        <v>4</v>
      </c>
      <c r="B12" s="236" t="s">
        <v>47</v>
      </c>
      <c r="C12" s="238">
        <v>1</v>
      </c>
      <c r="D12" s="237">
        <v>6.2859999999999996</v>
      </c>
      <c r="E12" s="111">
        <f t="shared" si="0"/>
        <v>6.29</v>
      </c>
      <c r="F12" s="95">
        <f t="shared" si="1"/>
        <v>75.5</v>
      </c>
      <c r="G12" s="95"/>
      <c r="H12" s="95"/>
      <c r="I12" s="95"/>
      <c r="J12" s="95"/>
      <c r="K12" s="95"/>
      <c r="L12" s="95">
        <f t="shared" si="18"/>
        <v>11.7</v>
      </c>
      <c r="M12" s="95">
        <f t="shared" si="2"/>
        <v>87.2</v>
      </c>
      <c r="N12" s="111">
        <v>0.45</v>
      </c>
      <c r="O12" s="95">
        <f t="shared" si="3"/>
        <v>39.200000000000003</v>
      </c>
      <c r="P12" s="95">
        <f t="shared" si="4"/>
        <v>126.4</v>
      </c>
      <c r="Q12" s="95">
        <f t="shared" si="5"/>
        <v>101.1</v>
      </c>
      <c r="R12" s="95">
        <f t="shared" si="6"/>
        <v>101.1</v>
      </c>
      <c r="S12" s="95">
        <f t="shared" si="7"/>
        <v>10.5</v>
      </c>
      <c r="T12" s="95">
        <f t="shared" si="8"/>
        <v>339.1</v>
      </c>
      <c r="U12" s="1948"/>
      <c r="V12" s="95">
        <f t="shared" si="20"/>
        <v>339.1</v>
      </c>
      <c r="W12" s="95">
        <f t="shared" ref="W12:W24" si="22">V12*0.302</f>
        <v>102.4</v>
      </c>
      <c r="X12" s="239"/>
      <c r="Y12" s="240">
        <v>30</v>
      </c>
      <c r="Z12" s="241">
        <f t="shared" si="9"/>
        <v>0</v>
      </c>
      <c r="AA12" s="239"/>
      <c r="AB12" s="240">
        <v>15</v>
      </c>
      <c r="AC12" s="241">
        <f t="shared" si="10"/>
        <v>0</v>
      </c>
      <c r="AD12" s="239"/>
      <c r="AE12" s="240">
        <v>30</v>
      </c>
      <c r="AF12" s="241">
        <f t="shared" si="11"/>
        <v>0</v>
      </c>
      <c r="AG12" s="241">
        <f t="shared" si="12"/>
        <v>0</v>
      </c>
      <c r="AH12" s="241">
        <f t="shared" si="13"/>
        <v>0</v>
      </c>
      <c r="AI12" s="114">
        <f t="shared" si="14"/>
        <v>28258.3</v>
      </c>
      <c r="AK12" s="114">
        <f t="shared" si="15"/>
        <v>339.1</v>
      </c>
      <c r="AL12" s="114">
        <f t="shared" si="19"/>
        <v>179.2</v>
      </c>
      <c r="AM12" s="115">
        <v>0.30199999999999999</v>
      </c>
      <c r="AN12" s="50">
        <f t="shared" si="21"/>
        <v>74.599999999999994</v>
      </c>
      <c r="AO12" s="50"/>
      <c r="AP12" s="50">
        <f t="shared" ref="AP12:AP24" si="23">AK12*0.053</f>
        <v>18</v>
      </c>
      <c r="AQ12" s="50">
        <f t="shared" si="16"/>
        <v>92.6</v>
      </c>
      <c r="AR12" s="22"/>
      <c r="AS12" s="99">
        <f t="shared" si="17"/>
        <v>9.4290000000000003</v>
      </c>
    </row>
    <row r="13" spans="1:45" s="33" customFormat="1" x14ac:dyDescent="0.25">
      <c r="A13" s="284">
        <v>5</v>
      </c>
      <c r="B13" s="52" t="s">
        <v>48</v>
      </c>
      <c r="C13" s="278">
        <v>1</v>
      </c>
      <c r="D13" s="177">
        <v>11.061999999999999</v>
      </c>
      <c r="E13" s="171">
        <f t="shared" si="0"/>
        <v>11.06</v>
      </c>
      <c r="F13" s="154">
        <f t="shared" si="1"/>
        <v>132.69999999999999</v>
      </c>
      <c r="G13" s="154"/>
      <c r="H13" s="154">
        <f>7010.2/1000</f>
        <v>7</v>
      </c>
      <c r="I13" s="154"/>
      <c r="J13" s="154"/>
      <c r="K13" s="154">
        <f>F13*0.4</f>
        <v>53.1</v>
      </c>
      <c r="L13" s="95">
        <f t="shared" si="18"/>
        <v>20.5</v>
      </c>
      <c r="M13" s="154">
        <f t="shared" si="2"/>
        <v>213.3</v>
      </c>
      <c r="N13" s="111">
        <v>0.47</v>
      </c>
      <c r="O13" s="154">
        <f t="shared" si="3"/>
        <v>100.3</v>
      </c>
      <c r="P13" s="154">
        <f t="shared" si="4"/>
        <v>313.60000000000002</v>
      </c>
      <c r="Q13" s="154">
        <f t="shared" si="5"/>
        <v>250.9</v>
      </c>
      <c r="R13" s="154">
        <f t="shared" si="6"/>
        <v>250.9</v>
      </c>
      <c r="S13" s="154">
        <f t="shared" si="7"/>
        <v>26.1</v>
      </c>
      <c r="T13" s="154">
        <f t="shared" si="8"/>
        <v>841.5</v>
      </c>
      <c r="U13" s="1948"/>
      <c r="V13" s="154">
        <f t="shared" si="20"/>
        <v>841.5</v>
      </c>
      <c r="W13" s="95">
        <f t="shared" si="22"/>
        <v>254.1</v>
      </c>
      <c r="X13" s="54"/>
      <c r="Y13" s="24">
        <v>30</v>
      </c>
      <c r="Z13" s="48">
        <f t="shared" si="9"/>
        <v>0</v>
      </c>
      <c r="AA13" s="54"/>
      <c r="AB13" s="24">
        <v>15</v>
      </c>
      <c r="AC13" s="48">
        <f t="shared" si="10"/>
        <v>0</v>
      </c>
      <c r="AD13" s="54"/>
      <c r="AE13" s="24">
        <v>30</v>
      </c>
      <c r="AF13" s="48">
        <f t="shared" si="11"/>
        <v>0</v>
      </c>
      <c r="AG13" s="48">
        <f t="shared" si="12"/>
        <v>0</v>
      </c>
      <c r="AH13" s="48">
        <f t="shared" si="13"/>
        <v>0</v>
      </c>
      <c r="AI13" s="34">
        <f t="shared" si="14"/>
        <v>70125</v>
      </c>
      <c r="AK13" s="34">
        <f t="shared" si="15"/>
        <v>841.5</v>
      </c>
      <c r="AL13" s="34">
        <f t="shared" si="19"/>
        <v>270.60000000000002</v>
      </c>
      <c r="AM13" s="51">
        <v>0.30199999999999999</v>
      </c>
      <c r="AN13" s="50">
        <f t="shared" si="21"/>
        <v>185.1</v>
      </c>
      <c r="AO13" s="50"/>
      <c r="AP13" s="50">
        <f t="shared" si="23"/>
        <v>44.6</v>
      </c>
      <c r="AQ13" s="50">
        <f t="shared" si="16"/>
        <v>229.7</v>
      </c>
      <c r="AR13" s="22"/>
      <c r="AS13" s="22">
        <f t="shared" si="17"/>
        <v>16.593</v>
      </c>
    </row>
    <row r="14" spans="1:45" x14ac:dyDescent="0.25">
      <c r="A14" s="284">
        <v>6</v>
      </c>
      <c r="B14" s="236" t="s">
        <v>49</v>
      </c>
      <c r="C14" s="127">
        <v>1</v>
      </c>
      <c r="D14" s="237">
        <v>8.4730000000000008</v>
      </c>
      <c r="E14" s="111">
        <f t="shared" si="0"/>
        <v>8.4700000000000006</v>
      </c>
      <c r="F14" s="95">
        <f t="shared" si="1"/>
        <v>101.6</v>
      </c>
      <c r="G14" s="95"/>
      <c r="H14" s="95">
        <f>5966.1/1000</f>
        <v>6</v>
      </c>
      <c r="I14" s="95"/>
      <c r="J14" s="95"/>
      <c r="K14" s="95">
        <f>F14*0.4</f>
        <v>40.6</v>
      </c>
      <c r="L14" s="95">
        <f t="shared" si="18"/>
        <v>15.7</v>
      </c>
      <c r="M14" s="95">
        <f t="shared" si="2"/>
        <v>163.9</v>
      </c>
      <c r="N14" s="111">
        <v>0.41</v>
      </c>
      <c r="O14" s="95">
        <f t="shared" si="3"/>
        <v>67.2</v>
      </c>
      <c r="P14" s="95">
        <f t="shared" si="4"/>
        <v>231.1</v>
      </c>
      <c r="Q14" s="95">
        <f t="shared" si="5"/>
        <v>184.9</v>
      </c>
      <c r="R14" s="95">
        <f t="shared" si="6"/>
        <v>184.9</v>
      </c>
      <c r="S14" s="95">
        <f t="shared" si="7"/>
        <v>19.2</v>
      </c>
      <c r="T14" s="95">
        <f t="shared" si="8"/>
        <v>620.1</v>
      </c>
      <c r="U14" s="1948"/>
      <c r="V14" s="95">
        <f>T14*$U$9</f>
        <v>620.1</v>
      </c>
      <c r="W14" s="95">
        <f t="shared" si="22"/>
        <v>187.3</v>
      </c>
      <c r="X14" s="284"/>
      <c r="Y14" s="112">
        <v>30</v>
      </c>
      <c r="Z14" s="113">
        <f t="shared" si="9"/>
        <v>0</v>
      </c>
      <c r="AA14" s="127"/>
      <c r="AB14" s="112">
        <v>15</v>
      </c>
      <c r="AC14" s="113">
        <f t="shared" si="10"/>
        <v>0</v>
      </c>
      <c r="AD14" s="127"/>
      <c r="AE14" s="112">
        <v>30</v>
      </c>
      <c r="AF14" s="113">
        <f t="shared" si="11"/>
        <v>0</v>
      </c>
      <c r="AG14" s="113">
        <f t="shared" si="12"/>
        <v>0</v>
      </c>
      <c r="AH14" s="113">
        <f t="shared" si="13"/>
        <v>0</v>
      </c>
      <c r="AI14" s="114">
        <f t="shared" si="14"/>
        <v>51675</v>
      </c>
      <c r="AK14" s="114">
        <f t="shared" si="15"/>
        <v>620.1</v>
      </c>
      <c r="AL14" s="114">
        <f t="shared" si="19"/>
        <v>230.3</v>
      </c>
      <c r="AM14" s="115">
        <v>0.30199999999999999</v>
      </c>
      <c r="AN14" s="50">
        <f t="shared" si="21"/>
        <v>136.4</v>
      </c>
      <c r="AO14" s="50"/>
      <c r="AP14" s="50">
        <f t="shared" si="23"/>
        <v>32.9</v>
      </c>
      <c r="AQ14" s="50">
        <f t="shared" si="16"/>
        <v>169.3</v>
      </c>
      <c r="AR14" s="22"/>
      <c r="AS14" s="99">
        <f t="shared" si="17"/>
        <v>12.7095</v>
      </c>
    </row>
    <row r="15" spans="1:45" x14ac:dyDescent="0.25">
      <c r="A15" s="284">
        <v>7</v>
      </c>
      <c r="B15" s="236" t="s">
        <v>52</v>
      </c>
      <c r="C15" s="127">
        <v>1</v>
      </c>
      <c r="D15" s="237">
        <v>8.4730000000000008</v>
      </c>
      <c r="E15" s="111">
        <f t="shared" si="0"/>
        <v>8.4700000000000006</v>
      </c>
      <c r="F15" s="95">
        <f t="shared" si="1"/>
        <v>101.6</v>
      </c>
      <c r="G15" s="95"/>
      <c r="H15" s="95">
        <f>5966.1/1000</f>
        <v>6</v>
      </c>
      <c r="I15" s="95"/>
      <c r="J15" s="95"/>
      <c r="K15" s="95">
        <f>F15*0.25</f>
        <v>25.4</v>
      </c>
      <c r="L15" s="95">
        <f t="shared" si="18"/>
        <v>15.7</v>
      </c>
      <c r="M15" s="95">
        <f t="shared" si="2"/>
        <v>148.69999999999999</v>
      </c>
      <c r="N15" s="111">
        <v>0.41</v>
      </c>
      <c r="O15" s="95">
        <f t="shared" si="3"/>
        <v>61</v>
      </c>
      <c r="P15" s="95">
        <f t="shared" si="4"/>
        <v>209.7</v>
      </c>
      <c r="Q15" s="95">
        <f t="shared" si="5"/>
        <v>167.8</v>
      </c>
      <c r="R15" s="95">
        <f t="shared" si="6"/>
        <v>167.8</v>
      </c>
      <c r="S15" s="95">
        <f t="shared" si="7"/>
        <v>17.399999999999999</v>
      </c>
      <c r="T15" s="95">
        <f t="shared" si="8"/>
        <v>562.70000000000005</v>
      </c>
      <c r="U15" s="1948"/>
      <c r="V15" s="95">
        <f t="shared" si="20"/>
        <v>562.70000000000005</v>
      </c>
      <c r="W15" s="95">
        <f t="shared" si="22"/>
        <v>169.9</v>
      </c>
      <c r="X15" s="284"/>
      <c r="Y15" s="112">
        <v>30</v>
      </c>
      <c r="Z15" s="113">
        <f t="shared" si="9"/>
        <v>0</v>
      </c>
      <c r="AA15" s="127"/>
      <c r="AB15" s="112">
        <v>15</v>
      </c>
      <c r="AC15" s="113">
        <f t="shared" si="10"/>
        <v>0</v>
      </c>
      <c r="AD15" s="127"/>
      <c r="AE15" s="112">
        <v>30</v>
      </c>
      <c r="AF15" s="113">
        <f t="shared" si="11"/>
        <v>0</v>
      </c>
      <c r="AG15" s="113">
        <f t="shared" si="12"/>
        <v>0</v>
      </c>
      <c r="AH15" s="113">
        <f t="shared" si="13"/>
        <v>0</v>
      </c>
      <c r="AI15" s="114">
        <f t="shared" si="14"/>
        <v>46891.7</v>
      </c>
      <c r="AK15" s="114">
        <f t="shared" si="15"/>
        <v>562.70000000000005</v>
      </c>
      <c r="AL15" s="114">
        <f t="shared" si="19"/>
        <v>219.9</v>
      </c>
      <c r="AM15" s="115">
        <v>0.30199999999999999</v>
      </c>
      <c r="AN15" s="50">
        <f t="shared" si="21"/>
        <v>123.8</v>
      </c>
      <c r="AO15" s="50"/>
      <c r="AP15" s="50">
        <f t="shared" si="23"/>
        <v>29.8</v>
      </c>
      <c r="AQ15" s="50">
        <f t="shared" si="16"/>
        <v>153.6</v>
      </c>
      <c r="AS15" s="99">
        <f t="shared" si="17"/>
        <v>12.7095</v>
      </c>
    </row>
    <row r="16" spans="1:45" x14ac:dyDescent="0.25">
      <c r="A16" s="284">
        <v>8</v>
      </c>
      <c r="B16" s="236" t="s">
        <v>40</v>
      </c>
      <c r="C16" s="127">
        <v>1</v>
      </c>
      <c r="D16" s="237">
        <v>11.061999999999999</v>
      </c>
      <c r="E16" s="111">
        <f t="shared" si="0"/>
        <v>11.06</v>
      </c>
      <c r="F16" s="95">
        <f t="shared" si="1"/>
        <v>132.69999999999999</v>
      </c>
      <c r="G16" s="95"/>
      <c r="H16" s="95">
        <f>7010.2/1000</f>
        <v>7</v>
      </c>
      <c r="I16" s="95"/>
      <c r="J16" s="95"/>
      <c r="K16" s="95">
        <f>F16*0.25</f>
        <v>33.200000000000003</v>
      </c>
      <c r="L16" s="95">
        <f t="shared" si="18"/>
        <v>20.5</v>
      </c>
      <c r="M16" s="95">
        <f t="shared" si="2"/>
        <v>193.4</v>
      </c>
      <c r="N16" s="111">
        <v>0.43</v>
      </c>
      <c r="O16" s="95">
        <f t="shared" si="3"/>
        <v>83.2</v>
      </c>
      <c r="P16" s="95">
        <f t="shared" si="4"/>
        <v>276.60000000000002</v>
      </c>
      <c r="Q16" s="95">
        <f t="shared" si="5"/>
        <v>221.3</v>
      </c>
      <c r="R16" s="95">
        <f t="shared" si="6"/>
        <v>221.3</v>
      </c>
      <c r="S16" s="95">
        <f t="shared" si="7"/>
        <v>23</v>
      </c>
      <c r="T16" s="95">
        <f t="shared" si="8"/>
        <v>742.2</v>
      </c>
      <c r="U16" s="1948"/>
      <c r="V16" s="95">
        <f t="shared" si="20"/>
        <v>742.2</v>
      </c>
      <c r="W16" s="95">
        <f t="shared" si="22"/>
        <v>224.1</v>
      </c>
      <c r="X16" s="284"/>
      <c r="Y16" s="112">
        <v>30</v>
      </c>
      <c r="Z16" s="113">
        <f t="shared" si="9"/>
        <v>0</v>
      </c>
      <c r="AA16" s="127"/>
      <c r="AB16" s="112">
        <v>15</v>
      </c>
      <c r="AC16" s="113">
        <f t="shared" si="10"/>
        <v>0</v>
      </c>
      <c r="AD16" s="127"/>
      <c r="AE16" s="112">
        <v>30</v>
      </c>
      <c r="AF16" s="113">
        <f t="shared" si="11"/>
        <v>0</v>
      </c>
      <c r="AG16" s="113">
        <f t="shared" si="12"/>
        <v>0</v>
      </c>
      <c r="AH16" s="113">
        <f t="shared" si="13"/>
        <v>0</v>
      </c>
      <c r="AI16" s="114">
        <f t="shared" si="14"/>
        <v>61850</v>
      </c>
      <c r="AK16" s="114">
        <f t="shared" si="15"/>
        <v>742.2</v>
      </c>
      <c r="AL16" s="114">
        <f t="shared" si="19"/>
        <v>252.6</v>
      </c>
      <c r="AM16" s="115">
        <v>0.30199999999999999</v>
      </c>
      <c r="AN16" s="50">
        <f t="shared" si="21"/>
        <v>163.30000000000001</v>
      </c>
      <c r="AO16" s="242"/>
      <c r="AP16" s="50">
        <f t="shared" si="23"/>
        <v>39.299999999999997</v>
      </c>
      <c r="AQ16" s="50">
        <f t="shared" si="16"/>
        <v>202.6</v>
      </c>
      <c r="AS16" s="99">
        <f t="shared" si="17"/>
        <v>16.593</v>
      </c>
    </row>
    <row r="17" spans="1:45" x14ac:dyDescent="0.25">
      <c r="A17" s="284">
        <v>9</v>
      </c>
      <c r="B17" s="236" t="s">
        <v>29</v>
      </c>
      <c r="C17" s="127">
        <v>1</v>
      </c>
      <c r="D17" s="237">
        <v>8.4730000000000008</v>
      </c>
      <c r="E17" s="111">
        <f t="shared" si="0"/>
        <v>8.4700000000000006</v>
      </c>
      <c r="F17" s="95">
        <f t="shared" si="1"/>
        <v>101.6</v>
      </c>
      <c r="G17" s="95"/>
      <c r="H17" s="95">
        <f>5369.5/1000</f>
        <v>5.4</v>
      </c>
      <c r="I17" s="95"/>
      <c r="J17" s="95">
        <f>D17*0.1*3</f>
        <v>2.5</v>
      </c>
      <c r="K17" s="95">
        <f>D17*0.25*12</f>
        <v>25.4</v>
      </c>
      <c r="L17" s="95">
        <f t="shared" si="18"/>
        <v>15.7</v>
      </c>
      <c r="M17" s="95">
        <f t="shared" si="2"/>
        <v>150.6</v>
      </c>
      <c r="N17" s="111">
        <v>0.41</v>
      </c>
      <c r="O17" s="95">
        <f t="shared" si="3"/>
        <v>61.7</v>
      </c>
      <c r="P17" s="95">
        <f t="shared" si="4"/>
        <v>212.3</v>
      </c>
      <c r="Q17" s="95">
        <f t="shared" si="5"/>
        <v>169.8</v>
      </c>
      <c r="R17" s="95">
        <f t="shared" si="6"/>
        <v>169.8</v>
      </c>
      <c r="S17" s="95">
        <f t="shared" si="7"/>
        <v>17.7</v>
      </c>
      <c r="T17" s="95">
        <f t="shared" si="8"/>
        <v>569.6</v>
      </c>
      <c r="U17" s="1948"/>
      <c r="V17" s="95">
        <f t="shared" si="20"/>
        <v>569.6</v>
      </c>
      <c r="W17" s="95">
        <f t="shared" si="22"/>
        <v>172</v>
      </c>
      <c r="X17" s="284">
        <v>1</v>
      </c>
      <c r="Y17" s="112">
        <v>30</v>
      </c>
      <c r="Z17" s="113">
        <f t="shared" si="9"/>
        <v>30</v>
      </c>
      <c r="AA17" s="127"/>
      <c r="AB17" s="112">
        <v>15</v>
      </c>
      <c r="AC17" s="113">
        <f t="shared" si="10"/>
        <v>0</v>
      </c>
      <c r="AD17" s="127"/>
      <c r="AE17" s="112">
        <v>30</v>
      </c>
      <c r="AF17" s="113">
        <f t="shared" si="11"/>
        <v>0</v>
      </c>
      <c r="AG17" s="113">
        <f t="shared" si="12"/>
        <v>9</v>
      </c>
      <c r="AH17" s="113">
        <f t="shared" si="13"/>
        <v>39</v>
      </c>
      <c r="AI17" s="114">
        <f t="shared" si="14"/>
        <v>47466.7</v>
      </c>
      <c r="AK17" s="114">
        <f t="shared" si="15"/>
        <v>569.6</v>
      </c>
      <c r="AL17" s="114">
        <f t="shared" si="19"/>
        <v>221.1</v>
      </c>
      <c r="AM17" s="115">
        <v>0.30199999999999999</v>
      </c>
      <c r="AN17" s="50">
        <f t="shared" si="21"/>
        <v>125.3</v>
      </c>
      <c r="AO17" s="242"/>
      <c r="AP17" s="50">
        <f t="shared" si="23"/>
        <v>30.2</v>
      </c>
      <c r="AQ17" s="50">
        <f t="shared" si="16"/>
        <v>155.5</v>
      </c>
      <c r="AS17" s="99">
        <f t="shared" si="17"/>
        <v>12.7095</v>
      </c>
    </row>
    <row r="18" spans="1:45" ht="26.4" x14ac:dyDescent="0.25">
      <c r="A18" s="284">
        <v>10</v>
      </c>
      <c r="B18" s="236" t="s">
        <v>148</v>
      </c>
      <c r="C18" s="127">
        <v>1</v>
      </c>
      <c r="D18" s="237">
        <v>8.4730000000000008</v>
      </c>
      <c r="E18" s="111">
        <f t="shared" si="0"/>
        <v>8.4700000000000006</v>
      </c>
      <c r="F18" s="95">
        <f t="shared" si="1"/>
        <v>101.6</v>
      </c>
      <c r="G18" s="95"/>
      <c r="H18" s="95"/>
      <c r="I18" s="95"/>
      <c r="J18" s="95"/>
      <c r="K18" s="95">
        <f>F18*0.25+D18*0.05*11</f>
        <v>30.1</v>
      </c>
      <c r="L18" s="95">
        <f t="shared" si="18"/>
        <v>15.7</v>
      </c>
      <c r="M18" s="95">
        <f t="shared" si="2"/>
        <v>147.4</v>
      </c>
      <c r="N18" s="111">
        <v>0.41</v>
      </c>
      <c r="O18" s="95">
        <f t="shared" si="3"/>
        <v>60.4</v>
      </c>
      <c r="P18" s="95">
        <f t="shared" si="4"/>
        <v>207.8</v>
      </c>
      <c r="Q18" s="95">
        <f t="shared" si="5"/>
        <v>166.2</v>
      </c>
      <c r="R18" s="95">
        <f t="shared" si="6"/>
        <v>166.2</v>
      </c>
      <c r="S18" s="95">
        <f t="shared" si="7"/>
        <v>17.3</v>
      </c>
      <c r="T18" s="95">
        <f t="shared" si="8"/>
        <v>557.5</v>
      </c>
      <c r="U18" s="1948"/>
      <c r="V18" s="95">
        <f t="shared" si="20"/>
        <v>557.5</v>
      </c>
      <c r="W18" s="95">
        <f t="shared" si="22"/>
        <v>168.4</v>
      </c>
      <c r="X18" s="284">
        <v>1</v>
      </c>
      <c r="Y18" s="112">
        <v>30</v>
      </c>
      <c r="Z18" s="113">
        <f t="shared" si="9"/>
        <v>30</v>
      </c>
      <c r="AA18" s="127"/>
      <c r="AB18" s="112">
        <v>15</v>
      </c>
      <c r="AC18" s="113">
        <f t="shared" si="10"/>
        <v>0</v>
      </c>
      <c r="AD18" s="127"/>
      <c r="AE18" s="112">
        <v>30</v>
      </c>
      <c r="AF18" s="113">
        <f t="shared" si="11"/>
        <v>0</v>
      </c>
      <c r="AG18" s="113">
        <f t="shared" si="12"/>
        <v>9</v>
      </c>
      <c r="AH18" s="113">
        <f t="shared" si="13"/>
        <v>39</v>
      </c>
      <c r="AI18" s="114"/>
      <c r="AK18" s="114">
        <f t="shared" si="15"/>
        <v>557.5</v>
      </c>
      <c r="AL18" s="114"/>
      <c r="AM18" s="115"/>
      <c r="AN18" s="50">
        <f t="shared" si="21"/>
        <v>122.7</v>
      </c>
      <c r="AO18" s="242"/>
      <c r="AP18" s="50">
        <f t="shared" si="23"/>
        <v>29.5</v>
      </c>
      <c r="AQ18" s="50">
        <f t="shared" si="16"/>
        <v>152.19999999999999</v>
      </c>
    </row>
    <row r="19" spans="1:45" ht="26.4" x14ac:dyDescent="0.25">
      <c r="A19" s="284">
        <v>11</v>
      </c>
      <c r="B19" s="236" t="s">
        <v>130</v>
      </c>
      <c r="C19" s="127">
        <v>1</v>
      </c>
      <c r="D19" s="237">
        <v>8.4730000000000008</v>
      </c>
      <c r="E19" s="111">
        <f t="shared" si="0"/>
        <v>8.4700000000000006</v>
      </c>
      <c r="F19" s="95">
        <f t="shared" si="1"/>
        <v>101.6</v>
      </c>
      <c r="G19" s="95"/>
      <c r="H19" s="95"/>
      <c r="I19" s="95"/>
      <c r="J19" s="95"/>
      <c r="K19" s="95"/>
      <c r="L19" s="95">
        <f t="shared" si="18"/>
        <v>15.7</v>
      </c>
      <c r="M19" s="95">
        <f t="shared" si="2"/>
        <v>117.3</v>
      </c>
      <c r="N19" s="111">
        <v>0.47</v>
      </c>
      <c r="O19" s="95">
        <f t="shared" si="3"/>
        <v>55.1</v>
      </c>
      <c r="P19" s="95">
        <f t="shared" si="4"/>
        <v>172.4</v>
      </c>
      <c r="Q19" s="95">
        <f t="shared" si="5"/>
        <v>137.9</v>
      </c>
      <c r="R19" s="95">
        <f t="shared" si="6"/>
        <v>137.9</v>
      </c>
      <c r="S19" s="95">
        <f t="shared" si="7"/>
        <v>14.3</v>
      </c>
      <c r="T19" s="95">
        <f t="shared" si="8"/>
        <v>462.5</v>
      </c>
      <c r="U19" s="1948"/>
      <c r="V19" s="95">
        <f t="shared" si="20"/>
        <v>462.5</v>
      </c>
      <c r="W19" s="95">
        <f t="shared" si="22"/>
        <v>139.69999999999999</v>
      </c>
      <c r="X19" s="284"/>
      <c r="Y19" s="112">
        <v>30</v>
      </c>
      <c r="Z19" s="113">
        <f t="shared" si="9"/>
        <v>0</v>
      </c>
      <c r="AA19" s="127"/>
      <c r="AB19" s="112">
        <v>15</v>
      </c>
      <c r="AC19" s="113">
        <f t="shared" si="10"/>
        <v>0</v>
      </c>
      <c r="AD19" s="127"/>
      <c r="AE19" s="112">
        <v>30</v>
      </c>
      <c r="AF19" s="113">
        <f t="shared" si="11"/>
        <v>0</v>
      </c>
      <c r="AG19" s="113">
        <f t="shared" si="12"/>
        <v>0</v>
      </c>
      <c r="AH19" s="113">
        <f t="shared" si="13"/>
        <v>0</v>
      </c>
      <c r="AI19" s="114"/>
      <c r="AK19" s="114">
        <f t="shared" si="15"/>
        <v>462.5</v>
      </c>
      <c r="AL19" s="114"/>
      <c r="AM19" s="115"/>
      <c r="AN19" s="50">
        <f t="shared" si="21"/>
        <v>101.8</v>
      </c>
      <c r="AO19" s="242"/>
      <c r="AP19" s="50">
        <f t="shared" si="23"/>
        <v>24.5</v>
      </c>
      <c r="AQ19" s="50">
        <f t="shared" si="16"/>
        <v>126.3</v>
      </c>
    </row>
    <row r="20" spans="1:45" x14ac:dyDescent="0.25">
      <c r="A20" s="284">
        <v>12</v>
      </c>
      <c r="B20" s="236" t="s">
        <v>149</v>
      </c>
      <c r="C20" s="127">
        <v>1</v>
      </c>
      <c r="D20" s="237">
        <v>11.061999999999999</v>
      </c>
      <c r="E20" s="111">
        <f t="shared" si="0"/>
        <v>11.06</v>
      </c>
      <c r="F20" s="95">
        <f t="shared" si="1"/>
        <v>132.69999999999999</v>
      </c>
      <c r="G20" s="95"/>
      <c r="H20" s="95"/>
      <c r="I20" s="95"/>
      <c r="J20" s="95"/>
      <c r="K20" s="95"/>
      <c r="L20" s="95">
        <f t="shared" si="18"/>
        <v>20.5</v>
      </c>
      <c r="M20" s="95">
        <f t="shared" si="2"/>
        <v>153.19999999999999</v>
      </c>
      <c r="N20" s="111">
        <v>0.43</v>
      </c>
      <c r="O20" s="95">
        <f t="shared" si="3"/>
        <v>65.900000000000006</v>
      </c>
      <c r="P20" s="95">
        <f t="shared" si="4"/>
        <v>219.1</v>
      </c>
      <c r="Q20" s="95">
        <f t="shared" si="5"/>
        <v>175.3</v>
      </c>
      <c r="R20" s="95">
        <f t="shared" si="6"/>
        <v>175.3</v>
      </c>
      <c r="S20" s="95">
        <f t="shared" si="7"/>
        <v>18.2</v>
      </c>
      <c r="T20" s="95">
        <f t="shared" si="8"/>
        <v>587.9</v>
      </c>
      <c r="U20" s="1948"/>
      <c r="V20" s="95">
        <f t="shared" si="20"/>
        <v>587.9</v>
      </c>
      <c r="W20" s="95">
        <f t="shared" si="22"/>
        <v>177.5</v>
      </c>
      <c r="X20" s="284"/>
      <c r="Y20" s="112">
        <v>30</v>
      </c>
      <c r="Z20" s="113">
        <f t="shared" si="9"/>
        <v>0</v>
      </c>
      <c r="AA20" s="127"/>
      <c r="AB20" s="112">
        <v>15</v>
      </c>
      <c r="AC20" s="113">
        <f t="shared" si="10"/>
        <v>0</v>
      </c>
      <c r="AD20" s="127"/>
      <c r="AE20" s="112">
        <v>30</v>
      </c>
      <c r="AF20" s="113">
        <f t="shared" si="11"/>
        <v>0</v>
      </c>
      <c r="AG20" s="113">
        <f t="shared" si="12"/>
        <v>0</v>
      </c>
      <c r="AH20" s="113">
        <f t="shared" si="13"/>
        <v>0</v>
      </c>
      <c r="AI20" s="114"/>
      <c r="AK20" s="114">
        <f t="shared" si="15"/>
        <v>587.9</v>
      </c>
      <c r="AL20" s="114"/>
      <c r="AM20" s="115"/>
      <c r="AN20" s="50">
        <f t="shared" si="21"/>
        <v>129.30000000000001</v>
      </c>
      <c r="AO20" s="242"/>
      <c r="AP20" s="50">
        <f t="shared" si="23"/>
        <v>31.2</v>
      </c>
      <c r="AQ20" s="50">
        <f t="shared" si="16"/>
        <v>160.5</v>
      </c>
    </row>
    <row r="21" spans="1:45" x14ac:dyDescent="0.25">
      <c r="A21" s="284">
        <v>13</v>
      </c>
      <c r="B21" s="243" t="s">
        <v>42</v>
      </c>
      <c r="C21" s="127">
        <v>1</v>
      </c>
      <c r="D21" s="237">
        <v>11.061999999999999</v>
      </c>
      <c r="E21" s="111">
        <f t="shared" si="0"/>
        <v>11.06</v>
      </c>
      <c r="F21" s="95">
        <f t="shared" si="1"/>
        <v>132.69999999999999</v>
      </c>
      <c r="G21" s="95"/>
      <c r="H21" s="95">
        <f>7789.1/1000</f>
        <v>7.8</v>
      </c>
      <c r="I21" s="95"/>
      <c r="J21" s="95"/>
      <c r="K21" s="95">
        <f>F21*0.3+D21*0.05*2</f>
        <v>40.9</v>
      </c>
      <c r="L21" s="95">
        <f t="shared" si="18"/>
        <v>20.5</v>
      </c>
      <c r="M21" s="95">
        <f t="shared" si="2"/>
        <v>201.9</v>
      </c>
      <c r="N21" s="111">
        <v>0.43</v>
      </c>
      <c r="O21" s="95">
        <f t="shared" si="3"/>
        <v>86.8</v>
      </c>
      <c r="P21" s="95">
        <f t="shared" si="4"/>
        <v>288.7</v>
      </c>
      <c r="Q21" s="95">
        <f t="shared" si="5"/>
        <v>231</v>
      </c>
      <c r="R21" s="95">
        <f t="shared" si="6"/>
        <v>231</v>
      </c>
      <c r="S21" s="95">
        <f t="shared" si="7"/>
        <v>24</v>
      </c>
      <c r="T21" s="95">
        <f t="shared" si="8"/>
        <v>774.7</v>
      </c>
      <c r="U21" s="1948"/>
      <c r="V21" s="95">
        <f t="shared" si="20"/>
        <v>774.7</v>
      </c>
      <c r="W21" s="95">
        <f t="shared" si="22"/>
        <v>234</v>
      </c>
      <c r="X21" s="284"/>
      <c r="Y21" s="112">
        <v>30</v>
      </c>
      <c r="Z21" s="113">
        <f t="shared" si="9"/>
        <v>0</v>
      </c>
      <c r="AA21" s="127"/>
      <c r="AB21" s="112">
        <v>15</v>
      </c>
      <c r="AC21" s="113">
        <f t="shared" si="10"/>
        <v>0</v>
      </c>
      <c r="AD21" s="127"/>
      <c r="AE21" s="112">
        <v>30</v>
      </c>
      <c r="AF21" s="113">
        <f t="shared" si="11"/>
        <v>0</v>
      </c>
      <c r="AG21" s="113">
        <f t="shared" si="12"/>
        <v>0</v>
      </c>
      <c r="AH21" s="113">
        <f t="shared" si="13"/>
        <v>0</v>
      </c>
      <c r="AI21" s="114">
        <f>V21/12/C21*1000</f>
        <v>64558.3</v>
      </c>
      <c r="AK21" s="114">
        <f t="shared" si="15"/>
        <v>774.7</v>
      </c>
      <c r="AL21" s="114">
        <f t="shared" si="19"/>
        <v>258.5</v>
      </c>
      <c r="AM21" s="115">
        <v>0.30199999999999999</v>
      </c>
      <c r="AN21" s="50">
        <f t="shared" si="21"/>
        <v>170.4</v>
      </c>
      <c r="AO21" s="244"/>
      <c r="AP21" s="50">
        <f t="shared" si="23"/>
        <v>41.1</v>
      </c>
      <c r="AQ21" s="50">
        <f t="shared" si="16"/>
        <v>211.5</v>
      </c>
      <c r="AS21" s="99">
        <f>D21*1.5</f>
        <v>16.593</v>
      </c>
    </row>
    <row r="22" spans="1:45" x14ac:dyDescent="0.25">
      <c r="A22" s="284">
        <v>14</v>
      </c>
      <c r="B22" s="236" t="s">
        <v>33</v>
      </c>
      <c r="C22" s="127">
        <v>1</v>
      </c>
      <c r="D22" s="237">
        <v>8.4730000000000008</v>
      </c>
      <c r="E22" s="111">
        <f t="shared" si="0"/>
        <v>8.4700000000000006</v>
      </c>
      <c r="F22" s="95">
        <f t="shared" si="1"/>
        <v>101.6</v>
      </c>
      <c r="G22" s="95">
        <f>18010.1/1000</f>
        <v>18</v>
      </c>
      <c r="H22" s="95">
        <f>4474.6/1000</f>
        <v>4.5</v>
      </c>
      <c r="I22" s="95"/>
      <c r="J22" s="95"/>
      <c r="K22" s="95">
        <f>F22*0.25</f>
        <v>25.4</v>
      </c>
      <c r="L22" s="95">
        <f t="shared" si="18"/>
        <v>15.7</v>
      </c>
      <c r="M22" s="95">
        <f t="shared" si="2"/>
        <v>165.2</v>
      </c>
      <c r="N22" s="111">
        <v>0.41</v>
      </c>
      <c r="O22" s="95">
        <f t="shared" si="3"/>
        <v>67.7</v>
      </c>
      <c r="P22" s="95">
        <f t="shared" si="4"/>
        <v>232.9</v>
      </c>
      <c r="Q22" s="95">
        <f t="shared" si="5"/>
        <v>186.3</v>
      </c>
      <c r="R22" s="95">
        <f t="shared" si="6"/>
        <v>186.3</v>
      </c>
      <c r="S22" s="95">
        <f t="shared" si="7"/>
        <v>19.399999999999999</v>
      </c>
      <c r="T22" s="95">
        <f t="shared" si="8"/>
        <v>624.9</v>
      </c>
      <c r="U22" s="1948"/>
      <c r="V22" s="95">
        <f t="shared" si="20"/>
        <v>624.9</v>
      </c>
      <c r="W22" s="95">
        <f t="shared" si="22"/>
        <v>188.7</v>
      </c>
      <c r="X22" s="238"/>
      <c r="Y22" s="240">
        <v>30</v>
      </c>
      <c r="Z22" s="241">
        <f t="shared" si="9"/>
        <v>0</v>
      </c>
      <c r="AA22" s="238"/>
      <c r="AB22" s="240">
        <v>15</v>
      </c>
      <c r="AC22" s="241">
        <f t="shared" si="10"/>
        <v>0</v>
      </c>
      <c r="AD22" s="238"/>
      <c r="AE22" s="240">
        <v>30</v>
      </c>
      <c r="AF22" s="241">
        <f t="shared" si="11"/>
        <v>0</v>
      </c>
      <c r="AG22" s="241">
        <f t="shared" si="12"/>
        <v>0</v>
      </c>
      <c r="AH22" s="241">
        <f t="shared" si="13"/>
        <v>0</v>
      </c>
      <c r="AI22" s="114">
        <f>V22/12/C22*1000</f>
        <v>52075</v>
      </c>
      <c r="AK22" s="114">
        <f t="shared" si="15"/>
        <v>624.9</v>
      </c>
      <c r="AL22" s="114">
        <f t="shared" si="19"/>
        <v>231.2</v>
      </c>
      <c r="AM22" s="115">
        <v>0.30199999999999999</v>
      </c>
      <c r="AN22" s="50">
        <f t="shared" si="21"/>
        <v>137.5</v>
      </c>
      <c r="AO22" s="244"/>
      <c r="AP22" s="50">
        <f t="shared" si="23"/>
        <v>33.1</v>
      </c>
      <c r="AQ22" s="50">
        <f t="shared" si="16"/>
        <v>170.6</v>
      </c>
      <c r="AR22" s="245"/>
      <c r="AS22" s="99">
        <f>D22*1.5</f>
        <v>12.7095</v>
      </c>
    </row>
    <row r="23" spans="1:45" s="245" customFormat="1" x14ac:dyDescent="0.25">
      <c r="A23" s="284">
        <v>15</v>
      </c>
      <c r="B23" s="236" t="s">
        <v>58</v>
      </c>
      <c r="C23" s="246">
        <v>1</v>
      </c>
      <c r="D23" s="247">
        <v>11.061999999999999</v>
      </c>
      <c r="E23" s="111">
        <f t="shared" si="0"/>
        <v>11.06</v>
      </c>
      <c r="F23" s="95">
        <f t="shared" si="1"/>
        <v>132.69999999999999</v>
      </c>
      <c r="G23" s="248"/>
      <c r="H23" s="248"/>
      <c r="I23" s="248"/>
      <c r="J23" s="248"/>
      <c r="K23" s="248"/>
      <c r="L23" s="95">
        <f t="shared" si="18"/>
        <v>20.5</v>
      </c>
      <c r="M23" s="95">
        <f t="shared" si="2"/>
        <v>153.19999999999999</v>
      </c>
      <c r="N23" s="111">
        <v>0.43</v>
      </c>
      <c r="O23" s="95">
        <f t="shared" si="3"/>
        <v>65.900000000000006</v>
      </c>
      <c r="P23" s="95">
        <f t="shared" si="4"/>
        <v>219.1</v>
      </c>
      <c r="Q23" s="95">
        <f t="shared" si="5"/>
        <v>175.3</v>
      </c>
      <c r="R23" s="95">
        <f t="shared" si="6"/>
        <v>175.3</v>
      </c>
      <c r="S23" s="95">
        <f t="shared" si="7"/>
        <v>18.2</v>
      </c>
      <c r="T23" s="95">
        <f t="shared" si="8"/>
        <v>587.9</v>
      </c>
      <c r="U23" s="1948"/>
      <c r="V23" s="95">
        <f t="shared" si="20"/>
        <v>587.9</v>
      </c>
      <c r="W23" s="95">
        <f t="shared" si="22"/>
        <v>177.5</v>
      </c>
      <c r="X23" s="246"/>
      <c r="Y23" s="240">
        <v>30</v>
      </c>
      <c r="Z23" s="241">
        <f t="shared" si="9"/>
        <v>0</v>
      </c>
      <c r="AA23" s="246"/>
      <c r="AB23" s="240">
        <v>15</v>
      </c>
      <c r="AC23" s="241">
        <f t="shared" si="10"/>
        <v>0</v>
      </c>
      <c r="AD23" s="246"/>
      <c r="AE23" s="240">
        <v>30</v>
      </c>
      <c r="AF23" s="241">
        <f t="shared" si="11"/>
        <v>0</v>
      </c>
      <c r="AG23" s="241">
        <f t="shared" si="12"/>
        <v>0</v>
      </c>
      <c r="AH23" s="241">
        <f t="shared" si="13"/>
        <v>0</v>
      </c>
      <c r="AI23" s="114"/>
      <c r="AK23" s="114">
        <f t="shared" si="15"/>
        <v>587.9</v>
      </c>
      <c r="AL23" s="114"/>
      <c r="AM23" s="115"/>
      <c r="AN23" s="50">
        <f t="shared" si="21"/>
        <v>129.30000000000001</v>
      </c>
      <c r="AO23" s="211"/>
      <c r="AP23" s="50">
        <f t="shared" si="23"/>
        <v>31.2</v>
      </c>
      <c r="AQ23" s="50">
        <f t="shared" si="16"/>
        <v>160.5</v>
      </c>
      <c r="AR23" s="99"/>
      <c r="AS23" s="99"/>
    </row>
    <row r="24" spans="1:45" s="252" customFormat="1" x14ac:dyDescent="0.25">
      <c r="A24" s="284">
        <v>16</v>
      </c>
      <c r="B24" s="236" t="s">
        <v>102</v>
      </c>
      <c r="C24" s="238">
        <v>1</v>
      </c>
      <c r="D24" s="237">
        <v>4.3769999999999998</v>
      </c>
      <c r="E24" s="249">
        <f t="shared" si="0"/>
        <v>4.38</v>
      </c>
      <c r="F24" s="170">
        <f t="shared" si="1"/>
        <v>52.6</v>
      </c>
      <c r="G24" s="248"/>
      <c r="H24" s="248"/>
      <c r="I24" s="248"/>
      <c r="J24" s="248"/>
      <c r="K24" s="248"/>
      <c r="L24" s="95">
        <v>35.200000000000003</v>
      </c>
      <c r="M24" s="248">
        <f t="shared" si="2"/>
        <v>87.8</v>
      </c>
      <c r="N24" s="111">
        <v>0.49</v>
      </c>
      <c r="O24" s="248">
        <f t="shared" si="3"/>
        <v>43</v>
      </c>
      <c r="P24" s="248">
        <f t="shared" si="4"/>
        <v>130.80000000000001</v>
      </c>
      <c r="Q24" s="248">
        <f t="shared" si="5"/>
        <v>104.6</v>
      </c>
      <c r="R24" s="95">
        <f t="shared" si="6"/>
        <v>104.6</v>
      </c>
      <c r="S24" s="248">
        <f t="shared" si="7"/>
        <v>10.9</v>
      </c>
      <c r="T24" s="248">
        <f t="shared" si="8"/>
        <v>350.9</v>
      </c>
      <c r="U24" s="1949"/>
      <c r="V24" s="250">
        <f>T24*$U$9-0.3</f>
        <v>350.6</v>
      </c>
      <c r="W24" s="95">
        <f t="shared" si="22"/>
        <v>105.9</v>
      </c>
      <c r="X24" s="251">
        <v>1</v>
      </c>
      <c r="Y24" s="112">
        <v>30</v>
      </c>
      <c r="Z24" s="113">
        <f t="shared" si="9"/>
        <v>30</v>
      </c>
      <c r="AA24" s="251"/>
      <c r="AB24" s="112">
        <v>15</v>
      </c>
      <c r="AC24" s="113">
        <f t="shared" si="10"/>
        <v>0</v>
      </c>
      <c r="AD24" s="251"/>
      <c r="AE24" s="112">
        <v>30</v>
      </c>
      <c r="AF24" s="113">
        <f t="shared" si="11"/>
        <v>0</v>
      </c>
      <c r="AG24" s="113">
        <f t="shared" si="12"/>
        <v>9</v>
      </c>
      <c r="AH24" s="113">
        <f t="shared" si="13"/>
        <v>39</v>
      </c>
      <c r="AI24" s="114">
        <f>V24/12/C24*1000</f>
        <v>29216.7</v>
      </c>
      <c r="AK24" s="114">
        <f t="shared" si="15"/>
        <v>350.6</v>
      </c>
      <c r="AL24" s="114">
        <f t="shared" si="19"/>
        <v>181.3</v>
      </c>
      <c r="AM24" s="115">
        <v>0.30199999999999999</v>
      </c>
      <c r="AN24" s="50">
        <f t="shared" si="21"/>
        <v>77.099999999999994</v>
      </c>
      <c r="AO24" s="211"/>
      <c r="AP24" s="50">
        <f t="shared" si="23"/>
        <v>18.600000000000001</v>
      </c>
      <c r="AQ24" s="50">
        <f t="shared" si="16"/>
        <v>95.7</v>
      </c>
      <c r="AR24" s="99"/>
      <c r="AS24" s="99">
        <f>D24*1.5</f>
        <v>6.5655000000000001</v>
      </c>
    </row>
    <row r="25" spans="1:45" s="98" customFormat="1" ht="20.25" customHeight="1" x14ac:dyDescent="0.25">
      <c r="A25" s="1946" t="s">
        <v>8</v>
      </c>
      <c r="B25" s="1946"/>
      <c r="C25" s="253">
        <f t="shared" ref="C25:M25" si="24">SUM(C9:C24)</f>
        <v>19</v>
      </c>
      <c r="D25" s="254">
        <f t="shared" si="24"/>
        <v>171.5</v>
      </c>
      <c r="E25" s="254">
        <f t="shared" si="24"/>
        <v>204.7</v>
      </c>
      <c r="F25" s="254">
        <f t="shared" si="24"/>
        <v>2455.8000000000002</v>
      </c>
      <c r="G25" s="254">
        <f t="shared" si="24"/>
        <v>18</v>
      </c>
      <c r="H25" s="254">
        <f t="shared" si="24"/>
        <v>76.7</v>
      </c>
      <c r="I25" s="254">
        <f t="shared" si="24"/>
        <v>0</v>
      </c>
      <c r="J25" s="254">
        <f t="shared" si="24"/>
        <v>2.5</v>
      </c>
      <c r="K25" s="254">
        <f t="shared" si="24"/>
        <v>868.2</v>
      </c>
      <c r="L25" s="254">
        <f t="shared" si="24"/>
        <v>406.5</v>
      </c>
      <c r="M25" s="254">
        <f t="shared" si="24"/>
        <v>3827.7</v>
      </c>
      <c r="N25" s="254"/>
      <c r="O25" s="254">
        <f t="shared" ref="O25:AH25" si="25">SUM(O9:O24)</f>
        <v>1659.4</v>
      </c>
      <c r="P25" s="254">
        <f t="shared" si="25"/>
        <v>5487.1</v>
      </c>
      <c r="Q25" s="254">
        <f t="shared" si="25"/>
        <v>4389.7</v>
      </c>
      <c r="R25" s="254">
        <f t="shared" si="25"/>
        <v>4389.7</v>
      </c>
      <c r="S25" s="254">
        <f t="shared" si="25"/>
        <v>456.3</v>
      </c>
      <c r="T25" s="254">
        <f t="shared" si="25"/>
        <v>14722.8</v>
      </c>
      <c r="U25" s="254">
        <f t="shared" si="25"/>
        <v>1</v>
      </c>
      <c r="V25" s="254">
        <f t="shared" si="25"/>
        <v>14722.5</v>
      </c>
      <c r="W25" s="254">
        <f t="shared" si="25"/>
        <v>4305.6000000000004</v>
      </c>
      <c r="X25" s="254">
        <f t="shared" si="25"/>
        <v>7</v>
      </c>
      <c r="Y25" s="254">
        <f t="shared" si="25"/>
        <v>480</v>
      </c>
      <c r="Z25" s="254">
        <f t="shared" si="25"/>
        <v>210</v>
      </c>
      <c r="AA25" s="254">
        <f t="shared" si="25"/>
        <v>1</v>
      </c>
      <c r="AB25" s="254">
        <f t="shared" si="25"/>
        <v>240</v>
      </c>
      <c r="AC25" s="254">
        <f t="shared" si="25"/>
        <v>15</v>
      </c>
      <c r="AD25" s="254">
        <f t="shared" si="25"/>
        <v>2</v>
      </c>
      <c r="AE25" s="254">
        <f t="shared" si="25"/>
        <v>480</v>
      </c>
      <c r="AF25" s="254">
        <f t="shared" si="25"/>
        <v>60</v>
      </c>
      <c r="AG25" s="254">
        <f t="shared" si="25"/>
        <v>85.5</v>
      </c>
      <c r="AH25" s="254">
        <f t="shared" si="25"/>
        <v>370.5</v>
      </c>
      <c r="AI25" s="114"/>
      <c r="AN25" s="211"/>
      <c r="AO25" s="211"/>
      <c r="AP25" s="211"/>
      <c r="AQ25" s="211"/>
      <c r="AR25" s="99"/>
      <c r="AS25" s="99"/>
    </row>
    <row r="26" spans="1:45" x14ac:dyDescent="0.25">
      <c r="G26" s="131"/>
      <c r="H26" s="131"/>
      <c r="I26" s="131"/>
      <c r="J26" s="131"/>
      <c r="K26" s="131"/>
      <c r="L26" s="131"/>
      <c r="M26" s="131"/>
      <c r="N26" s="131"/>
      <c r="O26" s="131"/>
      <c r="P26" s="131"/>
      <c r="Q26" s="131"/>
      <c r="R26" s="131"/>
      <c r="S26" s="131"/>
      <c r="T26" s="131"/>
      <c r="V26" s="114"/>
      <c r="W26" s="66"/>
      <c r="X26" s="131"/>
      <c r="AA26" s="131"/>
      <c r="AD26" s="131"/>
      <c r="AG26" s="131"/>
      <c r="AH26" s="131"/>
      <c r="AO26" s="50"/>
      <c r="AP26" s="50"/>
      <c r="AQ26" s="50"/>
    </row>
    <row r="27" spans="1:45" x14ac:dyDescent="0.25">
      <c r="B27" s="255"/>
      <c r="C27" s="256"/>
      <c r="D27" s="256"/>
      <c r="E27" s="257"/>
      <c r="F27" s="257"/>
      <c r="G27" s="257"/>
      <c r="H27" s="257"/>
      <c r="I27" s="133"/>
      <c r="J27" s="131"/>
      <c r="K27" s="131"/>
      <c r="L27" s="131"/>
      <c r="M27" s="131"/>
      <c r="N27" s="131"/>
      <c r="O27" s="131"/>
      <c r="P27" s="131"/>
      <c r="Q27" s="131"/>
      <c r="R27" s="131"/>
      <c r="S27" s="131"/>
      <c r="T27" s="131"/>
      <c r="V27" s="114"/>
      <c r="W27" s="114"/>
      <c r="X27" s="131"/>
      <c r="AA27" s="131"/>
      <c r="AD27" s="131"/>
      <c r="AE27" s="131"/>
    </row>
    <row r="28" spans="1:45" s="75" customFormat="1" x14ac:dyDescent="0.25">
      <c r="A28" s="70"/>
      <c r="B28" s="70"/>
      <c r="C28" s="71"/>
      <c r="D28" s="72"/>
      <c r="E28" s="72"/>
      <c r="F28" s="72"/>
      <c r="G28" s="72"/>
      <c r="H28" s="73"/>
      <c r="I28" s="73"/>
      <c r="J28" s="27"/>
      <c r="K28" s="27"/>
      <c r="L28" s="27"/>
      <c r="M28" s="27"/>
      <c r="N28" s="74"/>
      <c r="O28" s="27"/>
      <c r="P28" s="27"/>
      <c r="Q28" s="27"/>
      <c r="R28" s="27"/>
      <c r="S28" s="27"/>
      <c r="T28" s="27"/>
      <c r="U28" s="27"/>
      <c r="V28" s="27"/>
      <c r="W28" s="27"/>
      <c r="X28" s="27"/>
      <c r="Y28" s="27"/>
      <c r="Z28" s="27"/>
      <c r="AA28" s="27"/>
      <c r="AB28" s="27"/>
      <c r="AC28" s="27"/>
      <c r="AD28" s="27"/>
      <c r="AE28" s="27"/>
      <c r="AF28" s="27"/>
      <c r="AG28" s="27"/>
      <c r="AH28" s="27"/>
      <c r="AI28" s="27"/>
      <c r="AJ28" s="76"/>
      <c r="AN28" s="76"/>
      <c r="AO28" s="76"/>
      <c r="AP28" s="76"/>
      <c r="AQ28" s="76"/>
      <c r="AR28" s="76"/>
    </row>
    <row r="29" spans="1:45" s="75" customFormat="1" ht="59.25" customHeight="1" x14ac:dyDescent="0.25">
      <c r="A29" s="70"/>
      <c r="B29" s="70"/>
      <c r="C29" s="71"/>
      <c r="D29" s="77"/>
      <c r="E29" s="77"/>
      <c r="F29" s="27"/>
      <c r="G29" s="1545" t="s">
        <v>140</v>
      </c>
      <c r="H29" s="1545"/>
      <c r="I29" s="1545" t="s">
        <v>145</v>
      </c>
      <c r="J29" s="1545"/>
      <c r="K29" s="1545" t="s">
        <v>128</v>
      </c>
      <c r="L29" s="1545"/>
      <c r="Q29" s="27"/>
      <c r="R29" s="27"/>
      <c r="S29" s="27"/>
      <c r="T29" s="27"/>
      <c r="U29" s="27"/>
      <c r="V29" s="27"/>
      <c r="W29" s="27"/>
      <c r="X29" s="27"/>
      <c r="Y29" s="27"/>
      <c r="Z29" s="27"/>
      <c r="AA29" s="27"/>
      <c r="AB29" s="27"/>
      <c r="AC29" s="27"/>
      <c r="AD29" s="27"/>
      <c r="AE29" s="27"/>
      <c r="AF29" s="27"/>
      <c r="AG29" s="27"/>
      <c r="AH29" s="27"/>
      <c r="AI29" s="27"/>
      <c r="AJ29" s="76"/>
      <c r="AN29" s="76"/>
      <c r="AO29" s="76"/>
      <c r="AP29" s="76"/>
      <c r="AQ29" s="76"/>
      <c r="AR29" s="76"/>
    </row>
    <row r="30" spans="1:45" s="75" customFormat="1" x14ac:dyDescent="0.25">
      <c r="A30" s="70"/>
      <c r="B30" s="70"/>
      <c r="C30" s="71"/>
      <c r="D30" s="77"/>
      <c r="E30" s="77"/>
      <c r="F30" s="27"/>
      <c r="G30" s="279">
        <v>991</v>
      </c>
      <c r="H30" s="279">
        <v>992</v>
      </c>
      <c r="I30" s="279">
        <v>991</v>
      </c>
      <c r="J30" s="279">
        <v>992</v>
      </c>
      <c r="K30" s="279">
        <v>991</v>
      </c>
      <c r="L30" s="279">
        <v>992</v>
      </c>
      <c r="Q30" s="27"/>
      <c r="R30" s="27"/>
      <c r="S30" s="27"/>
      <c r="T30" s="27"/>
      <c r="U30" s="27"/>
      <c r="V30" s="27"/>
      <c r="W30" s="27"/>
      <c r="X30" s="27"/>
      <c r="Y30" s="27"/>
      <c r="Z30" s="27"/>
      <c r="AA30" s="27"/>
      <c r="AB30" s="27"/>
      <c r="AC30" s="27"/>
      <c r="AD30" s="27"/>
      <c r="AE30" s="27"/>
      <c r="AF30" s="27"/>
      <c r="AG30" s="27"/>
      <c r="AH30" s="27"/>
      <c r="AI30" s="27"/>
      <c r="AJ30" s="76"/>
      <c r="AN30" s="76"/>
      <c r="AO30" s="76"/>
      <c r="AP30" s="76"/>
      <c r="AQ30" s="76"/>
      <c r="AR30" s="76"/>
    </row>
    <row r="31" spans="1:45" s="75" customFormat="1" x14ac:dyDescent="0.25">
      <c r="A31" s="70"/>
      <c r="B31" s="70"/>
      <c r="C31" s="71"/>
      <c r="D31" s="77"/>
      <c r="E31" s="77"/>
      <c r="F31" s="27"/>
      <c r="G31" s="29">
        <v>14722.5</v>
      </c>
      <c r="H31" s="29">
        <v>4245.1000000000004</v>
      </c>
      <c r="I31" s="29">
        <f>V25</f>
        <v>14722.5</v>
      </c>
      <c r="J31" s="29">
        <f>W25</f>
        <v>4305.6000000000004</v>
      </c>
      <c r="K31" s="29">
        <f>G31-I31</f>
        <v>0</v>
      </c>
      <c r="L31" s="29">
        <f>H31-J31</f>
        <v>-60.5</v>
      </c>
      <c r="Q31" s="27"/>
      <c r="R31" s="27"/>
      <c r="S31" s="27"/>
      <c r="T31" s="27"/>
      <c r="U31" s="27"/>
      <c r="V31" s="27"/>
      <c r="W31" s="27"/>
      <c r="X31" s="27"/>
      <c r="Y31" s="27"/>
      <c r="Z31" s="27"/>
      <c r="AA31" s="27"/>
      <c r="AB31" s="27"/>
      <c r="AC31" s="27"/>
      <c r="AD31" s="27"/>
      <c r="AE31" s="27"/>
      <c r="AF31" s="27"/>
      <c r="AG31" s="27"/>
      <c r="AH31" s="27"/>
      <c r="AI31" s="27"/>
      <c r="AJ31" s="76"/>
      <c r="AN31" s="76"/>
      <c r="AO31" s="76"/>
      <c r="AP31" s="76"/>
      <c r="AQ31" s="76"/>
      <c r="AR31" s="76"/>
    </row>
    <row r="32" spans="1:45" s="75" customFormat="1" x14ac:dyDescent="0.25">
      <c r="A32" s="70"/>
      <c r="B32" s="70"/>
      <c r="C32" s="71"/>
      <c r="D32" s="77"/>
      <c r="E32" s="77"/>
      <c r="F32" s="27"/>
      <c r="G32" s="27"/>
      <c r="H32" s="80"/>
      <c r="I32" s="27"/>
      <c r="J32" s="80"/>
      <c r="K32" s="27"/>
      <c r="L32" s="27"/>
      <c r="M32" s="27"/>
      <c r="N32" s="74"/>
      <c r="O32" s="27"/>
      <c r="P32" s="27"/>
      <c r="Q32" s="27"/>
      <c r="R32" s="27"/>
      <c r="S32" s="27"/>
      <c r="T32" s="27"/>
      <c r="U32" s="27"/>
      <c r="V32" s="27"/>
      <c r="W32" s="27"/>
      <c r="X32" s="27"/>
      <c r="Y32" s="27"/>
      <c r="Z32" s="27"/>
      <c r="AA32" s="27"/>
      <c r="AB32" s="27"/>
      <c r="AC32" s="27"/>
      <c r="AD32" s="27"/>
      <c r="AE32" s="27"/>
      <c r="AF32" s="27"/>
      <c r="AG32" s="27"/>
      <c r="AH32" s="27"/>
      <c r="AI32" s="27"/>
      <c r="AJ32" s="76"/>
      <c r="AN32" s="76"/>
      <c r="AO32" s="76"/>
      <c r="AP32" s="76"/>
      <c r="AQ32" s="76"/>
      <c r="AR32" s="76"/>
    </row>
    <row r="33" spans="1:44" s="75" customFormat="1" x14ac:dyDescent="0.25">
      <c r="A33" s="70"/>
      <c r="B33" s="70"/>
      <c r="C33" s="71"/>
      <c r="D33" s="77"/>
      <c r="E33" s="77"/>
      <c r="F33" s="27"/>
      <c r="G33" s="27"/>
      <c r="H33" s="80"/>
      <c r="I33" s="27"/>
      <c r="J33" s="80"/>
      <c r="K33" s="27"/>
      <c r="L33" s="27"/>
      <c r="M33" s="27"/>
      <c r="N33" s="74"/>
      <c r="O33" s="27"/>
      <c r="P33" s="27"/>
      <c r="Q33" s="27"/>
      <c r="R33" s="27"/>
      <c r="S33" s="27"/>
      <c r="T33" s="27"/>
      <c r="U33" s="27"/>
      <c r="V33" s="27"/>
      <c r="W33" s="27"/>
      <c r="X33" s="27"/>
      <c r="Y33" s="27"/>
      <c r="Z33" s="27"/>
      <c r="AA33" s="27"/>
      <c r="AB33" s="27"/>
      <c r="AC33" s="27"/>
      <c r="AD33" s="27"/>
      <c r="AE33" s="27"/>
      <c r="AF33" s="27"/>
      <c r="AG33" s="27"/>
      <c r="AH33" s="27"/>
      <c r="AI33" s="27"/>
      <c r="AJ33" s="76"/>
      <c r="AN33" s="76"/>
      <c r="AO33" s="76"/>
      <c r="AP33" s="76"/>
      <c r="AQ33" s="76"/>
      <c r="AR33" s="76"/>
    </row>
    <row r="34" spans="1:44" s="75" customFormat="1" x14ac:dyDescent="0.25">
      <c r="A34" s="70"/>
      <c r="B34" s="70"/>
      <c r="C34" s="71"/>
      <c r="D34" s="77"/>
      <c r="E34" s="77"/>
      <c r="F34" s="27"/>
      <c r="G34" s="27"/>
      <c r="H34" s="80"/>
      <c r="I34" s="27"/>
      <c r="J34" s="80"/>
      <c r="K34" s="27"/>
      <c r="L34" s="27"/>
      <c r="M34" s="27"/>
      <c r="N34" s="74"/>
      <c r="O34" s="27"/>
      <c r="P34" s="27"/>
      <c r="Q34" s="27"/>
      <c r="R34" s="27"/>
      <c r="S34" s="27"/>
      <c r="T34" s="27"/>
      <c r="U34" s="27"/>
      <c r="V34" s="27"/>
      <c r="W34" s="27"/>
      <c r="X34" s="27"/>
      <c r="Y34" s="27"/>
      <c r="Z34" s="27"/>
      <c r="AA34" s="27"/>
      <c r="AB34" s="27"/>
      <c r="AC34" s="27"/>
      <c r="AD34" s="27"/>
      <c r="AE34" s="27"/>
      <c r="AF34" s="27"/>
      <c r="AG34" s="27"/>
      <c r="AH34" s="27"/>
      <c r="AI34" s="27"/>
      <c r="AJ34" s="76"/>
      <c r="AN34" s="76"/>
      <c r="AO34" s="76"/>
      <c r="AP34" s="76"/>
      <c r="AQ34" s="76"/>
      <c r="AR34" s="76"/>
    </row>
    <row r="35" spans="1:44" s="75" customFormat="1" x14ac:dyDescent="0.25">
      <c r="A35" s="70"/>
      <c r="B35" s="70"/>
      <c r="C35" s="71"/>
      <c r="D35" s="77"/>
      <c r="E35" s="77"/>
      <c r="F35" s="27"/>
      <c r="G35" s="27"/>
      <c r="H35" s="80"/>
      <c r="I35" s="27"/>
      <c r="J35" s="80"/>
      <c r="K35" s="27"/>
      <c r="L35" s="27"/>
      <c r="M35" s="27"/>
      <c r="N35" s="74"/>
      <c r="O35" s="27"/>
      <c r="P35" s="27"/>
      <c r="Q35" s="27"/>
      <c r="R35" s="27"/>
      <c r="S35" s="27"/>
      <c r="T35" s="27"/>
      <c r="U35" s="27"/>
      <c r="V35" s="27"/>
      <c r="W35" s="27"/>
      <c r="X35" s="27"/>
      <c r="Y35" s="27"/>
      <c r="Z35" s="27"/>
      <c r="AA35" s="27"/>
      <c r="AB35" s="27"/>
      <c r="AC35" s="27"/>
      <c r="AD35" s="27"/>
      <c r="AE35" s="27"/>
      <c r="AF35" s="27"/>
      <c r="AG35" s="27"/>
      <c r="AH35" s="27"/>
      <c r="AI35" s="27"/>
      <c r="AJ35" s="76"/>
      <c r="AN35" s="76"/>
      <c r="AO35" s="76"/>
      <c r="AP35" s="76"/>
      <c r="AQ35" s="76"/>
      <c r="AR35" s="76"/>
    </row>
    <row r="36" spans="1:44" s="282" customFormat="1" ht="21" x14ac:dyDescent="0.25">
      <c r="A36" s="81"/>
      <c r="B36" s="82" t="s">
        <v>138</v>
      </c>
      <c r="C36" s="83"/>
      <c r="D36" s="84"/>
      <c r="E36" s="84"/>
      <c r="F36" s="85"/>
      <c r="G36" s="85"/>
      <c r="H36" s="86"/>
      <c r="I36" s="86"/>
      <c r="J36" s="85"/>
      <c r="K36" s="30" t="s">
        <v>166</v>
      </c>
      <c r="L36" s="85"/>
      <c r="M36" s="85"/>
      <c r="N36" s="87"/>
      <c r="O36" s="85"/>
      <c r="P36" s="85"/>
      <c r="Q36" s="85"/>
      <c r="R36" s="85"/>
      <c r="S36" s="85"/>
      <c r="T36" s="85"/>
      <c r="U36" s="85"/>
      <c r="V36" s="85"/>
      <c r="W36" s="85"/>
      <c r="X36" s="85"/>
      <c r="Y36" s="85"/>
      <c r="Z36" s="85"/>
      <c r="AA36" s="85"/>
      <c r="AB36" s="85"/>
      <c r="AC36" s="85"/>
      <c r="AD36" s="85"/>
      <c r="AE36" s="85"/>
      <c r="AF36" s="85"/>
      <c r="AG36" s="85"/>
      <c r="AH36" s="85"/>
      <c r="AI36" s="85"/>
      <c r="AK36" s="88"/>
      <c r="AL36" s="88"/>
      <c r="AM36" s="88"/>
      <c r="AN36" s="88"/>
      <c r="AO36" s="88"/>
    </row>
    <row r="37" spans="1:44" s="143" customFormat="1" x14ac:dyDescent="0.25">
      <c r="A37" s="136"/>
      <c r="B37" s="136"/>
      <c r="C37" s="137"/>
      <c r="D37" s="144"/>
      <c r="E37" s="144"/>
      <c r="F37" s="140"/>
      <c r="G37" s="140"/>
      <c r="H37" s="139"/>
      <c r="I37" s="139"/>
      <c r="J37" s="140"/>
      <c r="K37" s="140"/>
      <c r="L37" s="140"/>
      <c r="M37" s="140"/>
      <c r="N37" s="141"/>
      <c r="O37" s="140"/>
      <c r="P37" s="140"/>
      <c r="Q37" s="140"/>
      <c r="R37" s="140"/>
      <c r="S37" s="140"/>
      <c r="T37" s="140"/>
      <c r="U37" s="140"/>
      <c r="V37" s="140"/>
      <c r="W37" s="140"/>
      <c r="X37" s="140"/>
      <c r="Y37" s="140"/>
      <c r="Z37" s="140"/>
      <c r="AA37" s="140"/>
      <c r="AB37" s="140"/>
      <c r="AC37" s="140"/>
      <c r="AD37" s="140"/>
      <c r="AE37" s="140"/>
      <c r="AF37" s="142"/>
      <c r="AK37" s="142"/>
      <c r="AL37" s="142"/>
      <c r="AM37" s="142"/>
      <c r="AN37" s="76"/>
      <c r="AO37" s="76"/>
      <c r="AP37" s="76"/>
      <c r="AQ37" s="76"/>
      <c r="AR37" s="99"/>
    </row>
    <row r="38" spans="1:44" s="143" customFormat="1" x14ac:dyDescent="0.25">
      <c r="A38" s="136"/>
      <c r="B38" s="136"/>
      <c r="C38" s="137"/>
      <c r="D38" s="144"/>
      <c r="E38" s="144"/>
      <c r="F38" s="140"/>
      <c r="G38" s="140"/>
      <c r="H38" s="139"/>
      <c r="I38" s="139"/>
      <c r="J38" s="140"/>
      <c r="K38" s="140"/>
      <c r="L38" s="140"/>
      <c r="M38" s="140"/>
      <c r="N38" s="202"/>
      <c r="O38" s="203"/>
      <c r="P38" s="140"/>
      <c r="Q38" s="140"/>
      <c r="R38" s="140"/>
      <c r="S38" s="140"/>
      <c r="T38" s="140"/>
      <c r="U38" s="140"/>
      <c r="V38" s="140"/>
      <c r="W38" s="140"/>
      <c r="X38" s="140"/>
      <c r="Y38" s="140"/>
      <c r="Z38" s="140"/>
      <c r="AA38" s="140"/>
      <c r="AB38" s="140"/>
      <c r="AC38" s="140"/>
      <c r="AD38" s="140"/>
      <c r="AE38" s="140"/>
      <c r="AF38" s="142"/>
      <c r="AK38" s="142"/>
      <c r="AL38" s="142"/>
      <c r="AM38" s="142"/>
      <c r="AN38" s="76"/>
      <c r="AO38" s="76"/>
      <c r="AP38" s="76"/>
      <c r="AQ38" s="76"/>
      <c r="AR38" s="252"/>
    </row>
    <row r="39" spans="1:44" s="143" customFormat="1" ht="20.25" customHeight="1" x14ac:dyDescent="0.25">
      <c r="A39" s="145" t="s">
        <v>96</v>
      </c>
      <c r="B39" s="145"/>
      <c r="C39" s="146"/>
      <c r="D39" s="146"/>
      <c r="E39" s="146"/>
      <c r="F39" s="146"/>
      <c r="G39" s="146"/>
      <c r="H39" s="146"/>
      <c r="I39" s="146"/>
      <c r="J39" s="146"/>
      <c r="K39" s="146"/>
      <c r="L39" s="147"/>
      <c r="M39" s="147"/>
      <c r="N39" s="202"/>
      <c r="O39" s="203"/>
      <c r="P39" s="147"/>
      <c r="Q39" s="147"/>
      <c r="R39" s="147"/>
      <c r="S39" s="147"/>
      <c r="T39" s="147"/>
      <c r="U39" s="147"/>
      <c r="V39" s="147"/>
      <c r="W39" s="147"/>
      <c r="X39" s="147"/>
      <c r="Y39" s="147"/>
      <c r="Z39" s="147"/>
      <c r="AA39" s="147"/>
      <c r="AB39" s="147"/>
      <c r="AC39" s="147"/>
      <c r="AD39" s="147"/>
      <c r="AE39" s="147"/>
      <c r="AF39" s="142"/>
      <c r="AK39" s="142"/>
      <c r="AL39" s="142"/>
      <c r="AM39" s="142"/>
      <c r="AN39" s="76"/>
      <c r="AO39" s="76"/>
      <c r="AP39" s="76"/>
      <c r="AQ39" s="76"/>
      <c r="AR39" s="99"/>
    </row>
    <row r="40" spans="1:44" s="143" customFormat="1" ht="20.25" customHeight="1" x14ac:dyDescent="0.25">
      <c r="A40" s="145" t="s">
        <v>139</v>
      </c>
      <c r="B40" s="149"/>
      <c r="C40" s="150"/>
      <c r="D40" s="150"/>
      <c r="E40" s="151"/>
      <c r="F40" s="151"/>
      <c r="G40" s="151"/>
      <c r="H40" s="151"/>
      <c r="I40" s="151"/>
      <c r="J40" s="151"/>
      <c r="K40" s="151"/>
      <c r="L40" s="147"/>
      <c r="M40" s="147"/>
      <c r="N40" s="202"/>
      <c r="O40" s="203"/>
      <c r="P40" s="147"/>
      <c r="Q40" s="147"/>
      <c r="R40" s="147"/>
      <c r="S40" s="147"/>
      <c r="T40" s="147"/>
      <c r="U40" s="147"/>
      <c r="V40" s="147"/>
      <c r="W40" s="147"/>
      <c r="X40" s="147"/>
      <c r="Y40" s="147"/>
      <c r="Z40" s="147"/>
      <c r="AA40" s="147"/>
      <c r="AB40" s="147"/>
      <c r="AC40" s="147"/>
      <c r="AD40" s="147"/>
      <c r="AE40" s="147"/>
      <c r="AF40" s="142"/>
      <c r="AK40" s="142"/>
      <c r="AL40" s="142"/>
      <c r="AM40" s="142"/>
      <c r="AN40" s="76"/>
      <c r="AO40" s="76"/>
      <c r="AP40" s="76"/>
      <c r="AQ40" s="76"/>
      <c r="AR40" s="252"/>
    </row>
    <row r="41" spans="1:44" x14ac:dyDescent="0.25">
      <c r="A41" s="99"/>
      <c r="I41" s="153"/>
      <c r="J41" s="153"/>
      <c r="W41" s="131"/>
      <c r="X41" s="131"/>
      <c r="AA41" s="131"/>
      <c r="AD41" s="131"/>
      <c r="AE41" s="131"/>
      <c r="AN41" s="76"/>
      <c r="AO41" s="76"/>
      <c r="AP41" s="76"/>
      <c r="AQ41" s="76"/>
      <c r="AR41" s="98"/>
    </row>
    <row r="42" spans="1:44" ht="16.8" x14ac:dyDescent="0.25">
      <c r="A42" s="258"/>
      <c r="W42" s="131"/>
      <c r="X42" s="131"/>
      <c r="AA42" s="131"/>
      <c r="AD42" s="131"/>
      <c r="AE42" s="131"/>
    </row>
    <row r="43" spans="1:44" x14ac:dyDescent="0.25">
      <c r="AG43" s="114"/>
    </row>
    <row r="45" spans="1:44" x14ac:dyDescent="0.25">
      <c r="E45" s="115"/>
    </row>
    <row r="46" spans="1:44" x14ac:dyDescent="0.25">
      <c r="E46" s="115"/>
    </row>
    <row r="47" spans="1:44" x14ac:dyDescent="0.25">
      <c r="E47" s="115"/>
      <c r="K47" s="153"/>
    </row>
    <row r="48" spans="1:44" x14ac:dyDescent="0.25">
      <c r="A48" s="99"/>
      <c r="E48" s="115"/>
    </row>
    <row r="49" spans="1:45" x14ac:dyDescent="0.25">
      <c r="A49" s="99"/>
      <c r="E49" s="115"/>
    </row>
    <row r="50" spans="1:45" x14ac:dyDescent="0.25">
      <c r="A50" s="99"/>
      <c r="E50" s="115"/>
    </row>
    <row r="51" spans="1:45" x14ac:dyDescent="0.25">
      <c r="A51" s="99"/>
      <c r="E51" s="115"/>
    </row>
    <row r="52" spans="1:45" x14ac:dyDescent="0.25">
      <c r="A52" s="99"/>
      <c r="E52" s="115"/>
    </row>
    <row r="53" spans="1:45" x14ac:dyDescent="0.25">
      <c r="A53" s="99"/>
      <c r="E53" s="115"/>
    </row>
    <row r="54" spans="1:45" x14ac:dyDescent="0.25">
      <c r="A54" s="99"/>
      <c r="E54" s="115"/>
    </row>
    <row r="55" spans="1:45" x14ac:dyDescent="0.25">
      <c r="A55" s="99"/>
      <c r="E55" s="115"/>
    </row>
    <row r="56" spans="1:45" x14ac:dyDescent="0.25">
      <c r="A56" s="99"/>
      <c r="E56" s="115"/>
    </row>
    <row r="57" spans="1:45" x14ac:dyDescent="0.25">
      <c r="A57" s="99"/>
      <c r="E57" s="115"/>
    </row>
    <row r="58" spans="1:45" x14ac:dyDescent="0.25">
      <c r="A58" s="99"/>
      <c r="E58" s="115"/>
    </row>
    <row r="59" spans="1:45" x14ac:dyDescent="0.25">
      <c r="A59" s="99"/>
      <c r="E59" s="115"/>
    </row>
    <row r="60" spans="1:45" s="211" customFormat="1" x14ac:dyDescent="0.25">
      <c r="A60" s="99"/>
      <c r="B60" s="99"/>
      <c r="C60" s="99"/>
      <c r="D60" s="99"/>
      <c r="E60" s="115"/>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R60" s="99"/>
      <c r="AS60" s="99"/>
    </row>
    <row r="61" spans="1:45" s="211" customFormat="1" x14ac:dyDescent="0.25">
      <c r="A61" s="99"/>
      <c r="B61" s="99"/>
      <c r="C61" s="99"/>
      <c r="D61" s="99"/>
      <c r="E61" s="115"/>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R61" s="99"/>
      <c r="AS61" s="99"/>
    </row>
    <row r="62" spans="1:45" s="211" customFormat="1" x14ac:dyDescent="0.25">
      <c r="A62" s="99"/>
      <c r="B62" s="99"/>
      <c r="C62" s="99"/>
      <c r="D62" s="99"/>
      <c r="E62" s="115"/>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R62" s="99"/>
      <c r="AS62" s="99"/>
    </row>
    <row r="63" spans="1:45" s="211" customFormat="1" x14ac:dyDescent="0.25">
      <c r="A63" s="99"/>
      <c r="B63" s="99"/>
      <c r="C63" s="99"/>
      <c r="D63" s="99"/>
      <c r="E63" s="115"/>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R63" s="99"/>
      <c r="AS63" s="99"/>
    </row>
    <row r="64" spans="1:45" s="211" customFormat="1" x14ac:dyDescent="0.25">
      <c r="A64" s="99"/>
      <c r="B64" s="99"/>
      <c r="C64" s="99"/>
      <c r="D64" s="99"/>
      <c r="E64" s="115"/>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R64" s="99"/>
      <c r="AS64" s="99"/>
    </row>
    <row r="65" spans="1:45" s="211" customFormat="1" x14ac:dyDescent="0.25">
      <c r="A65" s="99"/>
      <c r="B65" s="99"/>
      <c r="C65" s="99"/>
      <c r="D65" s="99"/>
      <c r="E65" s="115"/>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R65" s="99"/>
      <c r="AS65" s="99"/>
    </row>
    <row r="66" spans="1:45" s="211" customFormat="1" x14ac:dyDescent="0.25">
      <c r="A66" s="99"/>
      <c r="B66" s="99"/>
      <c r="C66" s="99"/>
      <c r="D66" s="99"/>
      <c r="E66" s="115"/>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R66" s="99"/>
      <c r="AS66" s="99"/>
    </row>
  </sheetData>
  <autoFilter ref="A8:AS25"/>
  <mergeCells count="37">
    <mergeCell ref="G29:H29"/>
    <mergeCell ref="I29:J29"/>
    <mergeCell ref="K29:L29"/>
    <mergeCell ref="AA6:AC6"/>
    <mergeCell ref="J6:J7"/>
    <mergeCell ref="K6:K7"/>
    <mergeCell ref="AH6:AH7"/>
    <mergeCell ref="U9:U24"/>
    <mergeCell ref="A25:B25"/>
    <mergeCell ref="S6:S7"/>
    <mergeCell ref="T6:T7"/>
    <mergeCell ref="U6:U7"/>
    <mergeCell ref="V6:V7"/>
    <mergeCell ref="W6:W7"/>
    <mergeCell ref="X6:Z6"/>
    <mergeCell ref="L6:L7"/>
    <mergeCell ref="F6:F7"/>
    <mergeCell ref="G6:G7"/>
    <mergeCell ref="H6:H7"/>
    <mergeCell ref="I6:I7"/>
    <mergeCell ref="R6:R7"/>
    <mergeCell ref="AE1:AH1"/>
    <mergeCell ref="A2:AH2"/>
    <mergeCell ref="A3:AH3"/>
    <mergeCell ref="A5:A7"/>
    <mergeCell ref="B5:B7"/>
    <mergeCell ref="C5:C7"/>
    <mergeCell ref="D5:W5"/>
    <mergeCell ref="X5:AH5"/>
    <mergeCell ref="D6:D7"/>
    <mergeCell ref="E6:E7"/>
    <mergeCell ref="AG6:AG7"/>
    <mergeCell ref="M6:M7"/>
    <mergeCell ref="N6:O6"/>
    <mergeCell ref="P6:P7"/>
    <mergeCell ref="Q6:Q7"/>
    <mergeCell ref="AD6:AF6"/>
  </mergeCells>
  <printOptions horizontalCentered="1"/>
  <pageMargins left="0" right="0" top="0" bottom="0" header="0.31496062992125984" footer="0.31496062992125984"/>
  <pageSetup paperSize="9" scale="39" orientation="landscape"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S68"/>
  <sheetViews>
    <sheetView view="pageBreakPreview" zoomScale="80" zoomScaleNormal="70" zoomScaleSheetLayoutView="80" workbookViewId="0">
      <pane xSplit="3" ySplit="8" topLeftCell="D21"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10.33203125" style="99" customWidth="1"/>
    <col min="2" max="2" width="30.77734375" style="99" customWidth="1"/>
    <col min="3" max="22" width="13.44140625" style="99" customWidth="1"/>
    <col min="23" max="23" width="12" style="99" customWidth="1"/>
    <col min="24" max="24" width="11.44140625" style="99" customWidth="1"/>
    <col min="25" max="25" width="12.33203125" style="99" customWidth="1"/>
    <col min="26" max="26" width="9.6640625" style="99" customWidth="1"/>
    <col min="27" max="32" width="8.44140625" style="99" customWidth="1"/>
    <col min="33" max="33" width="9.33203125" style="99" customWidth="1"/>
    <col min="34" max="34" width="10.6640625" style="99" customWidth="1"/>
    <col min="35" max="35" width="13.44140625" style="99" customWidth="1"/>
    <col min="36" max="36" width="12.6640625" style="99" customWidth="1"/>
    <col min="37" max="37" width="13" style="99" bestFit="1" customWidth="1"/>
    <col min="38" max="38" width="0" style="99" hidden="1" customWidth="1"/>
    <col min="39" max="39" width="13" style="99" hidden="1" customWidth="1"/>
    <col min="40" max="42" width="9.33203125" style="211"/>
    <col min="43" max="43" width="11.33203125" style="211" bestFit="1" customWidth="1"/>
    <col min="44" max="16384" width="9.33203125" style="99"/>
  </cols>
  <sheetData>
    <row r="1" spans="1:45" ht="22.5" customHeight="1" x14ac:dyDescent="0.25">
      <c r="AE1" s="1546"/>
      <c r="AF1" s="1546"/>
      <c r="AG1" s="1546"/>
      <c r="AH1" s="1546"/>
    </row>
    <row r="2" spans="1:45" ht="24" customHeight="1" x14ac:dyDescent="0.25">
      <c r="A2" s="1547" t="s">
        <v>164</v>
      </c>
      <c r="B2" s="1547"/>
      <c r="C2" s="1547"/>
      <c r="D2" s="1547"/>
      <c r="E2" s="1547"/>
      <c r="F2" s="1547"/>
      <c r="G2" s="1547"/>
      <c r="H2" s="1547"/>
      <c r="I2" s="1547"/>
      <c r="J2" s="1547"/>
      <c r="K2" s="1547"/>
      <c r="L2" s="1547"/>
      <c r="M2" s="1547"/>
      <c r="N2" s="1547"/>
      <c r="O2" s="1547"/>
      <c r="P2" s="1547"/>
      <c r="Q2" s="1547"/>
      <c r="R2" s="1547"/>
      <c r="S2" s="1547"/>
      <c r="T2" s="1547"/>
      <c r="U2" s="1547"/>
      <c r="V2" s="1547"/>
      <c r="W2" s="1547"/>
      <c r="X2" s="1547"/>
      <c r="Y2" s="1547"/>
      <c r="Z2" s="1547"/>
      <c r="AA2" s="1547"/>
      <c r="AB2" s="1547"/>
      <c r="AC2" s="1547"/>
      <c r="AD2" s="1547"/>
      <c r="AE2" s="1547"/>
      <c r="AF2" s="1547"/>
      <c r="AG2" s="1547"/>
      <c r="AH2" s="1547"/>
      <c r="AI2" s="235"/>
    </row>
    <row r="3" spans="1:45" ht="24.75" customHeight="1" x14ac:dyDescent="0.25">
      <c r="A3" s="1548"/>
      <c r="B3" s="1548"/>
      <c r="C3" s="1548"/>
      <c r="D3" s="1548"/>
      <c r="E3" s="1548"/>
      <c r="F3" s="1548"/>
      <c r="G3" s="1548"/>
      <c r="H3" s="1548"/>
      <c r="I3" s="1548"/>
      <c r="J3" s="1548"/>
      <c r="K3" s="1548"/>
      <c r="L3" s="1548"/>
      <c r="M3" s="1548"/>
      <c r="N3" s="1548"/>
      <c r="O3" s="1548"/>
      <c r="P3" s="1548"/>
      <c r="Q3" s="1548"/>
      <c r="R3" s="1548"/>
      <c r="S3" s="1548"/>
      <c r="T3" s="1548"/>
      <c r="U3" s="1548"/>
      <c r="V3" s="1548"/>
      <c r="W3" s="1548"/>
      <c r="X3" s="1548"/>
      <c r="Y3" s="1548"/>
      <c r="Z3" s="1548"/>
      <c r="AA3" s="1548"/>
      <c r="AB3" s="1548"/>
      <c r="AC3" s="1548"/>
      <c r="AD3" s="1548"/>
      <c r="AE3" s="1548"/>
      <c r="AF3" s="1548"/>
      <c r="AG3" s="1548"/>
      <c r="AH3" s="1548"/>
      <c r="AI3" s="287"/>
    </row>
    <row r="4" spans="1:45" x14ac:dyDescent="0.25">
      <c r="L4" s="38">
        <v>0.27208500000000002</v>
      </c>
      <c r="M4" s="38"/>
    </row>
    <row r="5" spans="1:45" ht="38.25" customHeight="1" x14ac:dyDescent="0.25">
      <c r="A5" s="1549" t="s">
        <v>78</v>
      </c>
      <c r="B5" s="1549" t="s">
        <v>77</v>
      </c>
      <c r="C5" s="1550" t="s">
        <v>0</v>
      </c>
      <c r="D5" s="1550" t="s">
        <v>3</v>
      </c>
      <c r="E5" s="1550"/>
      <c r="F5" s="1550"/>
      <c r="G5" s="1550"/>
      <c r="H5" s="1550"/>
      <c r="I5" s="1550"/>
      <c r="J5" s="1550"/>
      <c r="K5" s="1550"/>
      <c r="L5" s="1550"/>
      <c r="M5" s="1550"/>
      <c r="N5" s="1550"/>
      <c r="O5" s="1550"/>
      <c r="P5" s="1550"/>
      <c r="Q5" s="1550"/>
      <c r="R5" s="1550"/>
      <c r="S5" s="1550"/>
      <c r="T5" s="1550"/>
      <c r="U5" s="1550"/>
      <c r="V5" s="1550"/>
      <c r="W5" s="1550"/>
      <c r="X5" s="1550" t="s">
        <v>4</v>
      </c>
      <c r="Y5" s="1550"/>
      <c r="Z5" s="1550"/>
      <c r="AA5" s="1550"/>
      <c r="AB5" s="1550"/>
      <c r="AC5" s="1550"/>
      <c r="AD5" s="1550"/>
      <c r="AE5" s="1550"/>
      <c r="AF5" s="1550"/>
      <c r="AG5" s="1550"/>
      <c r="AH5" s="1550"/>
    </row>
    <row r="6" spans="1:45" ht="60" customHeight="1" x14ac:dyDescent="0.25">
      <c r="A6" s="1549"/>
      <c r="B6" s="1549"/>
      <c r="C6" s="1550"/>
      <c r="D6" s="1551" t="s">
        <v>68</v>
      </c>
      <c r="E6" s="1551" t="s">
        <v>69</v>
      </c>
      <c r="F6" s="1551" t="s">
        <v>89</v>
      </c>
      <c r="G6" s="1551" t="s">
        <v>1</v>
      </c>
      <c r="H6" s="1551" t="s">
        <v>2</v>
      </c>
      <c r="I6" s="1551" t="s">
        <v>70</v>
      </c>
      <c r="J6" s="1551" t="s">
        <v>61</v>
      </c>
      <c r="K6" s="1551" t="s">
        <v>27</v>
      </c>
      <c r="L6" s="1553" t="s">
        <v>65</v>
      </c>
      <c r="M6" s="1553" t="s">
        <v>86</v>
      </c>
      <c r="N6" s="1554" t="s">
        <v>90</v>
      </c>
      <c r="O6" s="1554"/>
      <c r="P6" s="1554" t="s">
        <v>88</v>
      </c>
      <c r="Q6" s="1553" t="s">
        <v>82</v>
      </c>
      <c r="R6" s="1551" t="s">
        <v>83</v>
      </c>
      <c r="S6" s="1553" t="s">
        <v>87</v>
      </c>
      <c r="T6" s="1551" t="s">
        <v>84</v>
      </c>
      <c r="U6" s="1551" t="s">
        <v>9</v>
      </c>
      <c r="V6" s="1551" t="s">
        <v>7</v>
      </c>
      <c r="W6" s="1551" t="s">
        <v>85</v>
      </c>
      <c r="X6" s="1550" t="s">
        <v>10</v>
      </c>
      <c r="Y6" s="1550"/>
      <c r="Z6" s="1550"/>
      <c r="AA6" s="1550" t="s">
        <v>11</v>
      </c>
      <c r="AB6" s="1550"/>
      <c r="AC6" s="1550"/>
      <c r="AD6" s="1550" t="s">
        <v>12</v>
      </c>
      <c r="AE6" s="1550"/>
      <c r="AF6" s="1550"/>
      <c r="AG6" s="1550" t="s">
        <v>13</v>
      </c>
      <c r="AH6" s="1550" t="s">
        <v>73</v>
      </c>
    </row>
    <row r="7" spans="1:45" ht="97.5" customHeight="1" x14ac:dyDescent="0.25">
      <c r="A7" s="1549"/>
      <c r="B7" s="1549"/>
      <c r="C7" s="1550"/>
      <c r="D7" s="1551"/>
      <c r="E7" s="1551"/>
      <c r="F7" s="1551"/>
      <c r="G7" s="1551"/>
      <c r="H7" s="1551"/>
      <c r="I7" s="1551"/>
      <c r="J7" s="1551"/>
      <c r="K7" s="1551"/>
      <c r="L7" s="1553" t="s">
        <v>66</v>
      </c>
      <c r="M7" s="1553"/>
      <c r="N7" s="286" t="s">
        <v>80</v>
      </c>
      <c r="O7" s="286" t="s">
        <v>81</v>
      </c>
      <c r="P7" s="1554"/>
      <c r="Q7" s="1553"/>
      <c r="R7" s="1551"/>
      <c r="S7" s="1553" t="s">
        <v>67</v>
      </c>
      <c r="T7" s="1551"/>
      <c r="U7" s="1551"/>
      <c r="V7" s="1551"/>
      <c r="W7" s="1551"/>
      <c r="X7" s="285" t="s">
        <v>5</v>
      </c>
      <c r="Y7" s="285" t="s">
        <v>6</v>
      </c>
      <c r="Z7" s="285" t="s">
        <v>74</v>
      </c>
      <c r="AA7" s="285" t="s">
        <v>5</v>
      </c>
      <c r="AB7" s="285" t="s">
        <v>6</v>
      </c>
      <c r="AC7" s="285" t="s">
        <v>75</v>
      </c>
      <c r="AD7" s="285" t="s">
        <v>5</v>
      </c>
      <c r="AE7" s="285" t="s">
        <v>6</v>
      </c>
      <c r="AF7" s="285" t="s">
        <v>76</v>
      </c>
      <c r="AG7" s="1550"/>
      <c r="AH7" s="1550"/>
      <c r="AK7" s="99" t="s">
        <v>64</v>
      </c>
      <c r="AL7" s="99" t="s">
        <v>62</v>
      </c>
      <c r="AM7" s="99" t="s">
        <v>63</v>
      </c>
    </row>
    <row r="8" spans="1:45" ht="18" customHeight="1" x14ac:dyDescent="0.25">
      <c r="A8" s="284">
        <v>1</v>
      </c>
      <c r="B8" s="284">
        <v>2</v>
      </c>
      <c r="C8" s="284">
        <v>3</v>
      </c>
      <c r="D8" s="284">
        <v>4</v>
      </c>
      <c r="E8" s="284">
        <v>5</v>
      </c>
      <c r="F8" s="284">
        <v>6</v>
      </c>
      <c r="G8" s="284">
        <v>7</v>
      </c>
      <c r="H8" s="284">
        <v>8</v>
      </c>
      <c r="I8" s="284">
        <v>9</v>
      </c>
      <c r="J8" s="284">
        <v>10</v>
      </c>
      <c r="K8" s="284">
        <v>11</v>
      </c>
      <c r="L8" s="284">
        <v>12</v>
      </c>
      <c r="M8" s="284">
        <v>13</v>
      </c>
      <c r="N8" s="284">
        <v>14</v>
      </c>
      <c r="O8" s="284">
        <v>15</v>
      </c>
      <c r="P8" s="284">
        <v>16</v>
      </c>
      <c r="Q8" s="284">
        <v>17</v>
      </c>
      <c r="R8" s="284">
        <v>18</v>
      </c>
      <c r="S8" s="284">
        <v>19</v>
      </c>
      <c r="T8" s="284">
        <v>20</v>
      </c>
      <c r="U8" s="284">
        <v>21</v>
      </c>
      <c r="V8" s="284">
        <v>22</v>
      </c>
      <c r="W8" s="284">
        <v>23</v>
      </c>
      <c r="X8" s="284">
        <v>24</v>
      </c>
      <c r="Y8" s="284">
        <v>25</v>
      </c>
      <c r="Z8" s="284">
        <v>26</v>
      </c>
      <c r="AA8" s="284">
        <v>27</v>
      </c>
      <c r="AB8" s="284">
        <v>28</v>
      </c>
      <c r="AC8" s="284">
        <v>29</v>
      </c>
      <c r="AD8" s="284">
        <v>30</v>
      </c>
      <c r="AE8" s="284">
        <v>31</v>
      </c>
      <c r="AF8" s="284">
        <v>32</v>
      </c>
      <c r="AG8" s="284">
        <v>33</v>
      </c>
      <c r="AH8" s="284">
        <v>34</v>
      </c>
      <c r="AN8" s="212" t="s">
        <v>116</v>
      </c>
      <c r="AO8" s="212" t="s">
        <v>117</v>
      </c>
      <c r="AP8" s="212" t="s">
        <v>118</v>
      </c>
      <c r="AQ8" s="212" t="s">
        <v>119</v>
      </c>
    </row>
    <row r="9" spans="1:45" ht="16.5" customHeight="1" x14ac:dyDescent="0.25">
      <c r="A9" s="284">
        <v>1</v>
      </c>
      <c r="B9" s="236" t="s">
        <v>14</v>
      </c>
      <c r="C9" s="259">
        <v>1</v>
      </c>
      <c r="D9" s="237">
        <v>25.873000000000001</v>
      </c>
      <c r="E9" s="260">
        <f t="shared" ref="E9:E27" si="0">C9*D9</f>
        <v>25.87</v>
      </c>
      <c r="F9" s="185">
        <f t="shared" ref="F9:F27" si="1">E9*12</f>
        <v>310.39999999999998</v>
      </c>
      <c r="G9" s="95"/>
      <c r="H9" s="95"/>
      <c r="I9" s="95"/>
      <c r="J9" s="95"/>
      <c r="K9" s="95"/>
      <c r="L9" s="95">
        <f>F9*$L$4</f>
        <v>84.5</v>
      </c>
      <c r="M9" s="95">
        <f t="shared" ref="M9:M27" si="2">F9+G9+H9+I9+J9+K9+L9</f>
        <v>394.9</v>
      </c>
      <c r="N9" s="111">
        <v>0.47</v>
      </c>
      <c r="O9" s="95">
        <f t="shared" ref="O9:O27" si="3">M9*N9</f>
        <v>185.6</v>
      </c>
      <c r="P9" s="95">
        <f t="shared" ref="P9:P27" si="4">M9+O9</f>
        <v>580.5</v>
      </c>
      <c r="Q9" s="95">
        <f t="shared" ref="Q9:Q27" si="5">P9*0.8</f>
        <v>464.4</v>
      </c>
      <c r="R9" s="95">
        <f t="shared" ref="R9:R27" si="6">P9*0.8</f>
        <v>464.4</v>
      </c>
      <c r="S9" s="95">
        <f t="shared" ref="S9:S27" si="7">(P9+Q9+R9)*0.032</f>
        <v>48.3</v>
      </c>
      <c r="T9" s="95">
        <f t="shared" ref="T9:T27" si="8">P9+Q9+R9+S9</f>
        <v>1557.6</v>
      </c>
      <c r="U9" s="1947">
        <v>1</v>
      </c>
      <c r="V9" s="95">
        <f t="shared" ref="V9:V26" si="9">T9*$U$9</f>
        <v>1557.6</v>
      </c>
      <c r="W9" s="95">
        <f>AQ9</f>
        <v>401.5</v>
      </c>
      <c r="X9" s="284">
        <v>1</v>
      </c>
      <c r="Y9" s="112">
        <v>30</v>
      </c>
      <c r="Z9" s="113">
        <f t="shared" ref="Z9:Z27" si="10">X9*Y9</f>
        <v>30</v>
      </c>
      <c r="AA9" s="284"/>
      <c r="AB9" s="112">
        <v>15</v>
      </c>
      <c r="AC9" s="113">
        <f t="shared" ref="AC9:AC27" si="11">AA9*AB9</f>
        <v>0</v>
      </c>
      <c r="AD9" s="284"/>
      <c r="AE9" s="112">
        <v>30</v>
      </c>
      <c r="AF9" s="113">
        <f t="shared" ref="AF9:AF27" si="12">AD9*AE9</f>
        <v>0</v>
      </c>
      <c r="AG9" s="113">
        <f t="shared" ref="AG9:AG27" si="13">(Z9+AC9+AF9)*1%*30</f>
        <v>9</v>
      </c>
      <c r="AH9" s="113">
        <f t="shared" ref="AH9:AH27" si="14">Z9+AC9+AF9+AG9</f>
        <v>39</v>
      </c>
      <c r="AI9" s="131">
        <f t="shared" ref="AI9:AI23" si="15">V9/12/C9*1000</f>
        <v>129800</v>
      </c>
      <c r="AK9" s="114">
        <f t="shared" ref="AK9:AK23" si="16">V9/C9</f>
        <v>1557.6</v>
      </c>
      <c r="AL9" s="114">
        <f>((979*0.302)+((AK9-979)*0.182))</f>
        <v>401</v>
      </c>
      <c r="AM9" s="115">
        <f>AL9/AK9</f>
        <v>0.25700000000000001</v>
      </c>
      <c r="AN9" s="50">
        <f>1150*0.22+(AK9-1150)*0.1</f>
        <v>293.8</v>
      </c>
      <c r="AO9" s="50">
        <f>865*0.029</f>
        <v>25.1</v>
      </c>
      <c r="AP9" s="50">
        <f>AK9*0.053</f>
        <v>82.6</v>
      </c>
      <c r="AQ9" s="50">
        <f>SUM(AN9:AP9)*C9</f>
        <v>401.5</v>
      </c>
      <c r="AS9" s="99">
        <f t="shared" ref="AS9:AS27" si="17">D9*1.5</f>
        <v>38.8095</v>
      </c>
    </row>
    <row r="10" spans="1:45" x14ac:dyDescent="0.25">
      <c r="A10" s="284">
        <v>2</v>
      </c>
      <c r="B10" s="236" t="s">
        <v>127</v>
      </c>
      <c r="C10" s="259">
        <v>2</v>
      </c>
      <c r="D10" s="237">
        <v>18.111000000000001</v>
      </c>
      <c r="E10" s="260">
        <f t="shared" si="0"/>
        <v>36.22</v>
      </c>
      <c r="F10" s="185">
        <f t="shared" si="1"/>
        <v>434.6</v>
      </c>
      <c r="G10" s="95"/>
      <c r="H10" s="95">
        <f>7.062+7.945</f>
        <v>15</v>
      </c>
      <c r="I10" s="95"/>
      <c r="J10" s="95"/>
      <c r="K10" s="95">
        <f>(D10*0.4+D10*0.2)*12</f>
        <v>130.4</v>
      </c>
      <c r="L10" s="95">
        <f t="shared" ref="L10:L25" si="18">F10*$L$4</f>
        <v>118.2</v>
      </c>
      <c r="M10" s="95">
        <f t="shared" si="2"/>
        <v>698.2</v>
      </c>
      <c r="N10" s="111">
        <v>0.47</v>
      </c>
      <c r="O10" s="95">
        <f t="shared" si="3"/>
        <v>328.2</v>
      </c>
      <c r="P10" s="95">
        <f t="shared" si="4"/>
        <v>1026.4000000000001</v>
      </c>
      <c r="Q10" s="95">
        <f t="shared" si="5"/>
        <v>821.1</v>
      </c>
      <c r="R10" s="95">
        <f t="shared" si="6"/>
        <v>821.1</v>
      </c>
      <c r="S10" s="95">
        <f t="shared" si="7"/>
        <v>85.4</v>
      </c>
      <c r="T10" s="95">
        <f t="shared" si="8"/>
        <v>2754</v>
      </c>
      <c r="U10" s="1948"/>
      <c r="V10" s="95">
        <f t="shared" si="9"/>
        <v>2754</v>
      </c>
      <c r="W10" s="95">
        <f>AQ10</f>
        <v>747.6</v>
      </c>
      <c r="X10" s="284"/>
      <c r="Y10" s="112">
        <v>30</v>
      </c>
      <c r="Z10" s="113">
        <f t="shared" si="10"/>
        <v>0</v>
      </c>
      <c r="AA10" s="284"/>
      <c r="AB10" s="112">
        <v>15</v>
      </c>
      <c r="AC10" s="113">
        <f t="shared" si="11"/>
        <v>0</v>
      </c>
      <c r="AD10" s="284"/>
      <c r="AE10" s="112">
        <v>30</v>
      </c>
      <c r="AF10" s="113">
        <f t="shared" si="12"/>
        <v>0</v>
      </c>
      <c r="AG10" s="113">
        <f t="shared" si="13"/>
        <v>0</v>
      </c>
      <c r="AH10" s="113">
        <f t="shared" si="14"/>
        <v>0</v>
      </c>
      <c r="AI10" s="131">
        <f t="shared" si="15"/>
        <v>114750</v>
      </c>
      <c r="AK10" s="114">
        <f t="shared" si="16"/>
        <v>1377</v>
      </c>
      <c r="AL10" s="114">
        <f t="shared" ref="AL10:AL27" si="19">((979*0.302)+((AK10-979)*0.182))</f>
        <v>368.1</v>
      </c>
      <c r="AM10" s="115">
        <f>AL10/AK10</f>
        <v>0.26700000000000002</v>
      </c>
      <c r="AN10" s="50">
        <f>1150*0.22+(AK10-1150)*0.1</f>
        <v>275.7</v>
      </c>
      <c r="AO10" s="50">
        <f>865*0.029</f>
        <v>25.1</v>
      </c>
      <c r="AP10" s="50">
        <f>AK10*0.053</f>
        <v>73</v>
      </c>
      <c r="AQ10" s="50">
        <f>SUM(AN10:AP10)*C10</f>
        <v>747.6</v>
      </c>
      <c r="AS10" s="99">
        <f t="shared" si="17"/>
        <v>27.166499999999999</v>
      </c>
    </row>
    <row r="11" spans="1:45" ht="15.75" customHeight="1" x14ac:dyDescent="0.25">
      <c r="A11" s="284">
        <v>3</v>
      </c>
      <c r="B11" s="261" t="s">
        <v>23</v>
      </c>
      <c r="C11" s="262">
        <v>4</v>
      </c>
      <c r="D11" s="237">
        <v>11.061999999999999</v>
      </c>
      <c r="E11" s="111">
        <f t="shared" si="0"/>
        <v>44.25</v>
      </c>
      <c r="F11" s="95">
        <f t="shared" si="1"/>
        <v>531</v>
      </c>
      <c r="G11" s="95"/>
      <c r="H11" s="95">
        <f>2.757+7.01+7.01+7.789</f>
        <v>24.6</v>
      </c>
      <c r="I11" s="95"/>
      <c r="J11" s="95"/>
      <c r="K11" s="95">
        <f>(D11*0.4*3+D11*0.25)*12</f>
        <v>192.5</v>
      </c>
      <c r="L11" s="95">
        <f t="shared" si="18"/>
        <v>144.5</v>
      </c>
      <c r="M11" s="95">
        <f t="shared" si="2"/>
        <v>892.6</v>
      </c>
      <c r="N11" s="111">
        <v>0.43</v>
      </c>
      <c r="O11" s="95">
        <f t="shared" si="3"/>
        <v>383.8</v>
      </c>
      <c r="P11" s="95">
        <f t="shared" si="4"/>
        <v>1276.4000000000001</v>
      </c>
      <c r="Q11" s="95">
        <f t="shared" si="5"/>
        <v>1021.1</v>
      </c>
      <c r="R11" s="95">
        <f t="shared" si="6"/>
        <v>1021.1</v>
      </c>
      <c r="S11" s="95">
        <f t="shared" si="7"/>
        <v>106.2</v>
      </c>
      <c r="T11" s="95">
        <f t="shared" si="8"/>
        <v>3424.8</v>
      </c>
      <c r="U11" s="1948"/>
      <c r="V11" s="95">
        <f>T11*$U$9</f>
        <v>3424.8</v>
      </c>
      <c r="W11" s="95">
        <f>V11*0.302</f>
        <v>1034.3</v>
      </c>
      <c r="X11" s="239">
        <v>2</v>
      </c>
      <c r="Y11" s="240">
        <v>30</v>
      </c>
      <c r="Z11" s="241">
        <f t="shared" si="10"/>
        <v>60</v>
      </c>
      <c r="AA11" s="239"/>
      <c r="AB11" s="240">
        <v>15</v>
      </c>
      <c r="AC11" s="241">
        <f t="shared" si="11"/>
        <v>0</v>
      </c>
      <c r="AD11" s="239">
        <v>2</v>
      </c>
      <c r="AE11" s="240">
        <v>30</v>
      </c>
      <c r="AF11" s="241">
        <f t="shared" si="12"/>
        <v>60</v>
      </c>
      <c r="AG11" s="241">
        <f t="shared" si="13"/>
        <v>36</v>
      </c>
      <c r="AH11" s="241">
        <f t="shared" si="14"/>
        <v>156</v>
      </c>
      <c r="AI11" s="131">
        <f t="shared" si="15"/>
        <v>71350</v>
      </c>
      <c r="AK11" s="114">
        <f t="shared" si="16"/>
        <v>856.2</v>
      </c>
      <c r="AL11" s="114">
        <f t="shared" si="19"/>
        <v>273.3</v>
      </c>
      <c r="AM11" s="115">
        <v>0.30199999999999999</v>
      </c>
      <c r="AN11" s="50"/>
      <c r="AO11" s="50"/>
      <c r="AP11" s="50"/>
      <c r="AQ11" s="50"/>
      <c r="AS11" s="99">
        <f t="shared" si="17"/>
        <v>16.593</v>
      </c>
    </row>
    <row r="12" spans="1:45" x14ac:dyDescent="0.25">
      <c r="A12" s="284">
        <v>4</v>
      </c>
      <c r="B12" s="261" t="s">
        <v>47</v>
      </c>
      <c r="C12" s="262">
        <v>1</v>
      </c>
      <c r="D12" s="237">
        <v>6.2859999999999996</v>
      </c>
      <c r="E12" s="111">
        <f t="shared" si="0"/>
        <v>6.29</v>
      </c>
      <c r="F12" s="95">
        <f t="shared" si="1"/>
        <v>75.5</v>
      </c>
      <c r="G12" s="95"/>
      <c r="H12" s="95">
        <f>3064.3/1000</f>
        <v>3.1</v>
      </c>
      <c r="I12" s="95"/>
      <c r="J12" s="95"/>
      <c r="K12" s="95">
        <f>F12*0.25</f>
        <v>18.899999999999999</v>
      </c>
      <c r="L12" s="95">
        <f t="shared" si="18"/>
        <v>20.5</v>
      </c>
      <c r="M12" s="95">
        <f t="shared" si="2"/>
        <v>118</v>
      </c>
      <c r="N12" s="111">
        <v>0.45</v>
      </c>
      <c r="O12" s="95">
        <f t="shared" si="3"/>
        <v>53.1</v>
      </c>
      <c r="P12" s="95">
        <f t="shared" si="4"/>
        <v>171.1</v>
      </c>
      <c r="Q12" s="95">
        <f t="shared" si="5"/>
        <v>136.9</v>
      </c>
      <c r="R12" s="95">
        <f t="shared" si="6"/>
        <v>136.9</v>
      </c>
      <c r="S12" s="95">
        <f t="shared" si="7"/>
        <v>14.2</v>
      </c>
      <c r="T12" s="95">
        <f t="shared" si="8"/>
        <v>459.1</v>
      </c>
      <c r="U12" s="1948"/>
      <c r="V12" s="95">
        <f t="shared" si="9"/>
        <v>459.1</v>
      </c>
      <c r="W12" s="95">
        <f t="shared" ref="W12:W27" si="20">V12*0.302</f>
        <v>138.6</v>
      </c>
      <c r="X12" s="239">
        <v>1</v>
      </c>
      <c r="Y12" s="240">
        <v>30</v>
      </c>
      <c r="Z12" s="241">
        <f t="shared" si="10"/>
        <v>30</v>
      </c>
      <c r="AA12" s="239"/>
      <c r="AB12" s="240">
        <v>15</v>
      </c>
      <c r="AC12" s="241">
        <f t="shared" si="11"/>
        <v>0</v>
      </c>
      <c r="AD12" s="239"/>
      <c r="AE12" s="240">
        <v>30</v>
      </c>
      <c r="AF12" s="241">
        <f t="shared" si="12"/>
        <v>0</v>
      </c>
      <c r="AG12" s="241">
        <f t="shared" si="13"/>
        <v>9</v>
      </c>
      <c r="AH12" s="241">
        <f t="shared" si="14"/>
        <v>39</v>
      </c>
      <c r="AI12" s="131">
        <f t="shared" si="15"/>
        <v>38258.33</v>
      </c>
      <c r="AK12" s="114">
        <f t="shared" si="16"/>
        <v>459.1</v>
      </c>
      <c r="AL12" s="114">
        <f t="shared" si="19"/>
        <v>201</v>
      </c>
      <c r="AM12" s="115">
        <v>0.30199999999999999</v>
      </c>
      <c r="AO12" s="50"/>
      <c r="AP12" s="50"/>
      <c r="AQ12" s="50"/>
      <c r="AS12" s="99">
        <f t="shared" si="17"/>
        <v>9.4290000000000003</v>
      </c>
    </row>
    <row r="13" spans="1:45" x14ac:dyDescent="0.25">
      <c r="A13" s="284">
        <v>5</v>
      </c>
      <c r="B13" s="236" t="s">
        <v>15</v>
      </c>
      <c r="C13" s="262">
        <v>1</v>
      </c>
      <c r="D13" s="237">
        <v>11.061999999999999</v>
      </c>
      <c r="E13" s="111">
        <f t="shared" si="0"/>
        <v>11.06</v>
      </c>
      <c r="F13" s="95">
        <f t="shared" si="1"/>
        <v>132.69999999999999</v>
      </c>
      <c r="G13" s="95"/>
      <c r="H13" s="95"/>
      <c r="I13" s="95"/>
      <c r="J13" s="95"/>
      <c r="K13" s="95">
        <f>D11*0.25*4.6+D11*0.3*7.4</f>
        <v>37.299999999999997</v>
      </c>
      <c r="L13" s="95">
        <f t="shared" si="18"/>
        <v>36.1</v>
      </c>
      <c r="M13" s="95">
        <f t="shared" si="2"/>
        <v>206.1</v>
      </c>
      <c r="N13" s="111">
        <v>0.43</v>
      </c>
      <c r="O13" s="95">
        <f t="shared" si="3"/>
        <v>88.6</v>
      </c>
      <c r="P13" s="95">
        <f t="shared" si="4"/>
        <v>294.7</v>
      </c>
      <c r="Q13" s="95">
        <f t="shared" si="5"/>
        <v>235.8</v>
      </c>
      <c r="R13" s="95">
        <f t="shared" si="6"/>
        <v>235.8</v>
      </c>
      <c r="S13" s="95">
        <f t="shared" si="7"/>
        <v>24.5</v>
      </c>
      <c r="T13" s="95">
        <f t="shared" si="8"/>
        <v>790.8</v>
      </c>
      <c r="U13" s="1948"/>
      <c r="V13" s="95">
        <f t="shared" si="9"/>
        <v>790.8</v>
      </c>
      <c r="W13" s="95">
        <f t="shared" si="20"/>
        <v>238.8</v>
      </c>
      <c r="X13" s="239"/>
      <c r="Y13" s="240">
        <v>30</v>
      </c>
      <c r="Z13" s="241">
        <f t="shared" si="10"/>
        <v>0</v>
      </c>
      <c r="AA13" s="239"/>
      <c r="AB13" s="240">
        <v>15</v>
      </c>
      <c r="AC13" s="241">
        <f t="shared" si="11"/>
        <v>0</v>
      </c>
      <c r="AD13" s="239"/>
      <c r="AE13" s="240">
        <v>30</v>
      </c>
      <c r="AF13" s="241">
        <f t="shared" si="12"/>
        <v>0</v>
      </c>
      <c r="AG13" s="241">
        <f t="shared" si="13"/>
        <v>0</v>
      </c>
      <c r="AH13" s="241">
        <f t="shared" si="14"/>
        <v>0</v>
      </c>
      <c r="AI13" s="131">
        <f t="shared" si="15"/>
        <v>65900</v>
      </c>
      <c r="AK13" s="114">
        <f t="shared" si="16"/>
        <v>790.8</v>
      </c>
      <c r="AL13" s="114">
        <f t="shared" si="19"/>
        <v>261.39999999999998</v>
      </c>
      <c r="AM13" s="115">
        <v>0.30199999999999999</v>
      </c>
      <c r="AN13" s="50"/>
      <c r="AO13" s="50"/>
      <c r="AP13" s="50"/>
      <c r="AQ13" s="50"/>
      <c r="AS13" s="99">
        <f t="shared" si="17"/>
        <v>16.593</v>
      </c>
    </row>
    <row r="14" spans="1:45" s="245" customFormat="1" x14ac:dyDescent="0.25">
      <c r="A14" s="284">
        <v>6</v>
      </c>
      <c r="B14" s="261" t="s">
        <v>48</v>
      </c>
      <c r="C14" s="262">
        <v>1</v>
      </c>
      <c r="D14" s="237">
        <v>11.061999999999999</v>
      </c>
      <c r="E14" s="249">
        <f t="shared" si="0"/>
        <v>11.06</v>
      </c>
      <c r="F14" s="248">
        <f t="shared" si="1"/>
        <v>132.69999999999999</v>
      </c>
      <c r="G14" s="248"/>
      <c r="H14" s="248">
        <v>7</v>
      </c>
      <c r="I14" s="248"/>
      <c r="J14" s="248"/>
      <c r="K14" s="248">
        <f>F14*0.4</f>
        <v>53.1</v>
      </c>
      <c r="L14" s="95">
        <f t="shared" si="18"/>
        <v>36.1</v>
      </c>
      <c r="M14" s="248">
        <f t="shared" si="2"/>
        <v>228.9</v>
      </c>
      <c r="N14" s="111">
        <v>0.47</v>
      </c>
      <c r="O14" s="248">
        <f t="shared" si="3"/>
        <v>107.6</v>
      </c>
      <c r="P14" s="248">
        <f t="shared" si="4"/>
        <v>336.5</v>
      </c>
      <c r="Q14" s="248">
        <f t="shared" si="5"/>
        <v>269.2</v>
      </c>
      <c r="R14" s="248">
        <f t="shared" si="6"/>
        <v>269.2</v>
      </c>
      <c r="S14" s="248">
        <f t="shared" si="7"/>
        <v>28</v>
      </c>
      <c r="T14" s="248">
        <f t="shared" si="8"/>
        <v>902.9</v>
      </c>
      <c r="U14" s="1948"/>
      <c r="V14" s="248">
        <f t="shared" si="9"/>
        <v>902.9</v>
      </c>
      <c r="W14" s="95">
        <f>AQ14</f>
        <v>271.60000000000002</v>
      </c>
      <c r="X14" s="239"/>
      <c r="Y14" s="240">
        <v>30</v>
      </c>
      <c r="Z14" s="241">
        <f t="shared" si="10"/>
        <v>0</v>
      </c>
      <c r="AA14" s="239"/>
      <c r="AB14" s="240">
        <v>15</v>
      </c>
      <c r="AC14" s="241">
        <f t="shared" si="11"/>
        <v>0</v>
      </c>
      <c r="AD14" s="239"/>
      <c r="AE14" s="240">
        <v>30</v>
      </c>
      <c r="AF14" s="241">
        <f t="shared" si="12"/>
        <v>0</v>
      </c>
      <c r="AG14" s="241">
        <f t="shared" si="13"/>
        <v>0</v>
      </c>
      <c r="AH14" s="241">
        <f t="shared" si="14"/>
        <v>0</v>
      </c>
      <c r="AI14" s="131">
        <f t="shared" si="15"/>
        <v>75241.67</v>
      </c>
      <c r="AK14" s="114">
        <f t="shared" si="16"/>
        <v>902.9</v>
      </c>
      <c r="AL14" s="114">
        <f t="shared" si="19"/>
        <v>281.8</v>
      </c>
      <c r="AM14" s="115">
        <v>0.30199999999999999</v>
      </c>
      <c r="AN14" s="50">
        <f>AK14*0.22</f>
        <v>198.6</v>
      </c>
      <c r="AO14" s="50">
        <f>865*0.029</f>
        <v>25.1</v>
      </c>
      <c r="AP14" s="50">
        <f>AK14*0.053</f>
        <v>47.9</v>
      </c>
      <c r="AQ14" s="50">
        <f>SUM(AN14:AP14)*C14</f>
        <v>271.60000000000002</v>
      </c>
      <c r="AS14" s="99">
        <f t="shared" si="17"/>
        <v>16.593</v>
      </c>
    </row>
    <row r="15" spans="1:45" x14ac:dyDescent="0.25">
      <c r="A15" s="284">
        <v>7</v>
      </c>
      <c r="B15" s="236" t="s">
        <v>49</v>
      </c>
      <c r="C15" s="259">
        <v>1</v>
      </c>
      <c r="D15" s="237">
        <v>8.4730000000000008</v>
      </c>
      <c r="E15" s="111">
        <f t="shared" si="0"/>
        <v>8.4700000000000006</v>
      </c>
      <c r="F15" s="95">
        <f t="shared" si="1"/>
        <v>101.6</v>
      </c>
      <c r="G15" s="95"/>
      <c r="H15" s="95">
        <v>6</v>
      </c>
      <c r="I15" s="95"/>
      <c r="J15" s="95"/>
      <c r="K15" s="95">
        <f>F15*0.2</f>
        <v>20.3</v>
      </c>
      <c r="L15" s="95">
        <f t="shared" si="18"/>
        <v>27.6</v>
      </c>
      <c r="M15" s="95">
        <f t="shared" si="2"/>
        <v>155.5</v>
      </c>
      <c r="N15" s="111">
        <v>0.41</v>
      </c>
      <c r="O15" s="95">
        <f t="shared" si="3"/>
        <v>63.8</v>
      </c>
      <c r="P15" s="95">
        <f t="shared" si="4"/>
        <v>219.3</v>
      </c>
      <c r="Q15" s="95">
        <f t="shared" si="5"/>
        <v>175.4</v>
      </c>
      <c r="R15" s="95">
        <f t="shared" si="6"/>
        <v>175.4</v>
      </c>
      <c r="S15" s="95">
        <f t="shared" si="7"/>
        <v>18.2</v>
      </c>
      <c r="T15" s="95">
        <f t="shared" si="8"/>
        <v>588.29999999999995</v>
      </c>
      <c r="U15" s="1948"/>
      <c r="V15" s="95">
        <f t="shared" si="9"/>
        <v>588.29999999999995</v>
      </c>
      <c r="W15" s="95">
        <f t="shared" si="20"/>
        <v>177.7</v>
      </c>
      <c r="X15" s="284"/>
      <c r="Y15" s="112">
        <v>30</v>
      </c>
      <c r="Z15" s="113">
        <f t="shared" si="10"/>
        <v>0</v>
      </c>
      <c r="AA15" s="127"/>
      <c r="AB15" s="112">
        <v>15</v>
      </c>
      <c r="AC15" s="113">
        <f t="shared" si="11"/>
        <v>0</v>
      </c>
      <c r="AD15" s="127"/>
      <c r="AE15" s="112">
        <v>30</v>
      </c>
      <c r="AF15" s="113">
        <f t="shared" si="12"/>
        <v>0</v>
      </c>
      <c r="AG15" s="113">
        <f t="shared" si="13"/>
        <v>0</v>
      </c>
      <c r="AH15" s="113">
        <f t="shared" si="14"/>
        <v>0</v>
      </c>
      <c r="AI15" s="131">
        <f t="shared" si="15"/>
        <v>49025</v>
      </c>
      <c r="AK15" s="114">
        <f t="shared" si="16"/>
        <v>588.29999999999995</v>
      </c>
      <c r="AL15" s="114">
        <f t="shared" si="19"/>
        <v>224.6</v>
      </c>
      <c r="AM15" s="115">
        <v>0.30199999999999999</v>
      </c>
      <c r="AO15" s="50"/>
      <c r="AP15" s="50"/>
      <c r="AQ15" s="50"/>
      <c r="AS15" s="99">
        <f t="shared" si="17"/>
        <v>12.7095</v>
      </c>
    </row>
    <row r="16" spans="1:45" x14ac:dyDescent="0.25">
      <c r="A16" s="284">
        <v>8</v>
      </c>
      <c r="B16" s="236" t="s">
        <v>59</v>
      </c>
      <c r="C16" s="259">
        <v>1</v>
      </c>
      <c r="D16" s="237">
        <v>8.4730000000000008</v>
      </c>
      <c r="E16" s="111">
        <f t="shared" si="0"/>
        <v>8.4700000000000006</v>
      </c>
      <c r="F16" s="95">
        <f t="shared" si="1"/>
        <v>101.6</v>
      </c>
      <c r="G16" s="95"/>
      <c r="H16" s="95">
        <v>5.4</v>
      </c>
      <c r="I16" s="95"/>
      <c r="J16" s="95"/>
      <c r="K16" s="95">
        <f>F16*0.4</f>
        <v>40.6</v>
      </c>
      <c r="L16" s="95">
        <f t="shared" si="18"/>
        <v>27.6</v>
      </c>
      <c r="M16" s="95">
        <f t="shared" si="2"/>
        <v>175.2</v>
      </c>
      <c r="N16" s="111">
        <v>0.41</v>
      </c>
      <c r="O16" s="95">
        <f t="shared" si="3"/>
        <v>71.8</v>
      </c>
      <c r="P16" s="95">
        <f t="shared" si="4"/>
        <v>247</v>
      </c>
      <c r="Q16" s="95">
        <f t="shared" si="5"/>
        <v>197.6</v>
      </c>
      <c r="R16" s="95">
        <f t="shared" si="6"/>
        <v>197.6</v>
      </c>
      <c r="S16" s="95">
        <f t="shared" si="7"/>
        <v>20.6</v>
      </c>
      <c r="T16" s="95">
        <f t="shared" si="8"/>
        <v>662.8</v>
      </c>
      <c r="U16" s="1948"/>
      <c r="V16" s="95">
        <f t="shared" si="9"/>
        <v>662.8</v>
      </c>
      <c r="W16" s="95">
        <f t="shared" si="20"/>
        <v>200.2</v>
      </c>
      <c r="X16" s="284"/>
      <c r="Y16" s="112">
        <v>30</v>
      </c>
      <c r="Z16" s="113">
        <f t="shared" si="10"/>
        <v>0</v>
      </c>
      <c r="AA16" s="127"/>
      <c r="AB16" s="112">
        <v>15</v>
      </c>
      <c r="AC16" s="113">
        <f t="shared" si="11"/>
        <v>0</v>
      </c>
      <c r="AD16" s="127"/>
      <c r="AE16" s="112">
        <v>30</v>
      </c>
      <c r="AF16" s="113">
        <f t="shared" si="12"/>
        <v>0</v>
      </c>
      <c r="AG16" s="113">
        <f t="shared" si="13"/>
        <v>0</v>
      </c>
      <c r="AH16" s="113">
        <f t="shared" si="14"/>
        <v>0</v>
      </c>
      <c r="AI16" s="131">
        <f t="shared" si="15"/>
        <v>55233.33</v>
      </c>
      <c r="AK16" s="114">
        <f t="shared" si="16"/>
        <v>662.8</v>
      </c>
      <c r="AL16" s="114">
        <f t="shared" si="19"/>
        <v>238.1</v>
      </c>
      <c r="AM16" s="115">
        <v>0.30199999999999999</v>
      </c>
      <c r="AN16" s="50"/>
      <c r="AO16" s="50"/>
      <c r="AP16" s="50"/>
      <c r="AQ16" s="50"/>
      <c r="AS16" s="99">
        <f t="shared" si="17"/>
        <v>12.7095</v>
      </c>
    </row>
    <row r="17" spans="1:45" x14ac:dyDescent="0.25">
      <c r="A17" s="284">
        <v>9</v>
      </c>
      <c r="B17" s="261" t="s">
        <v>40</v>
      </c>
      <c r="C17" s="259">
        <v>1</v>
      </c>
      <c r="D17" s="237">
        <v>11.061999999999999</v>
      </c>
      <c r="E17" s="111">
        <f t="shared" si="0"/>
        <v>11.06</v>
      </c>
      <c r="F17" s="95">
        <f t="shared" si="1"/>
        <v>132.69999999999999</v>
      </c>
      <c r="G17" s="95"/>
      <c r="H17" s="95">
        <f>5392.4/1000</f>
        <v>5.4</v>
      </c>
      <c r="I17" s="95"/>
      <c r="J17" s="95"/>
      <c r="K17" s="95"/>
      <c r="L17" s="95">
        <f t="shared" si="18"/>
        <v>36.1</v>
      </c>
      <c r="M17" s="95">
        <f t="shared" si="2"/>
        <v>174.2</v>
      </c>
      <c r="N17" s="111">
        <v>0.43</v>
      </c>
      <c r="O17" s="95">
        <f t="shared" si="3"/>
        <v>74.900000000000006</v>
      </c>
      <c r="P17" s="95">
        <f t="shared" si="4"/>
        <v>249.1</v>
      </c>
      <c r="Q17" s="95">
        <f t="shared" si="5"/>
        <v>199.3</v>
      </c>
      <c r="R17" s="95">
        <f t="shared" si="6"/>
        <v>199.3</v>
      </c>
      <c r="S17" s="95">
        <f t="shared" si="7"/>
        <v>20.7</v>
      </c>
      <c r="T17" s="95">
        <f t="shared" si="8"/>
        <v>668.4</v>
      </c>
      <c r="U17" s="1948"/>
      <c r="V17" s="95">
        <f t="shared" si="9"/>
        <v>668.4</v>
      </c>
      <c r="W17" s="95">
        <f t="shared" si="20"/>
        <v>201.9</v>
      </c>
      <c r="X17" s="284"/>
      <c r="Y17" s="112">
        <v>30</v>
      </c>
      <c r="Z17" s="113">
        <f t="shared" si="10"/>
        <v>0</v>
      </c>
      <c r="AA17" s="127"/>
      <c r="AB17" s="112">
        <v>15</v>
      </c>
      <c r="AC17" s="113">
        <f t="shared" si="11"/>
        <v>0</v>
      </c>
      <c r="AD17" s="127"/>
      <c r="AE17" s="112">
        <v>30</v>
      </c>
      <c r="AF17" s="113">
        <f t="shared" si="12"/>
        <v>0</v>
      </c>
      <c r="AG17" s="113">
        <f t="shared" si="13"/>
        <v>0</v>
      </c>
      <c r="AH17" s="113">
        <f t="shared" si="14"/>
        <v>0</v>
      </c>
      <c r="AI17" s="131">
        <f t="shared" si="15"/>
        <v>55700</v>
      </c>
      <c r="AK17" s="114">
        <f t="shared" si="16"/>
        <v>668.4</v>
      </c>
      <c r="AL17" s="114">
        <f t="shared" si="19"/>
        <v>239.1</v>
      </c>
      <c r="AM17" s="115">
        <v>0.30199999999999999</v>
      </c>
      <c r="AN17" s="50"/>
      <c r="AO17" s="50"/>
      <c r="AP17" s="50"/>
      <c r="AQ17" s="50"/>
      <c r="AS17" s="99">
        <f t="shared" si="17"/>
        <v>16.593</v>
      </c>
    </row>
    <row r="18" spans="1:45" x14ac:dyDescent="0.25">
      <c r="A18" s="284">
        <v>10</v>
      </c>
      <c r="B18" s="261" t="s">
        <v>29</v>
      </c>
      <c r="C18" s="259">
        <v>2</v>
      </c>
      <c r="D18" s="237">
        <v>8.4730000000000008</v>
      </c>
      <c r="E18" s="111">
        <f t="shared" si="0"/>
        <v>16.95</v>
      </c>
      <c r="F18" s="95">
        <f t="shared" si="1"/>
        <v>203.4</v>
      </c>
      <c r="G18" s="95"/>
      <c r="H18" s="95">
        <f>2065.2/1000</f>
        <v>2.1</v>
      </c>
      <c r="I18" s="95"/>
      <c r="J18" s="95"/>
      <c r="K18" s="95">
        <f>(D18*0.25+D18*0.3)*12</f>
        <v>55.9</v>
      </c>
      <c r="L18" s="95">
        <f t="shared" si="18"/>
        <v>55.3</v>
      </c>
      <c r="M18" s="95">
        <f t="shared" si="2"/>
        <v>316.7</v>
      </c>
      <c r="N18" s="111">
        <v>0.41</v>
      </c>
      <c r="O18" s="95">
        <f t="shared" si="3"/>
        <v>129.80000000000001</v>
      </c>
      <c r="P18" s="95">
        <f t="shared" si="4"/>
        <v>446.5</v>
      </c>
      <c r="Q18" s="95">
        <f t="shared" si="5"/>
        <v>357.2</v>
      </c>
      <c r="R18" s="95">
        <f t="shared" si="6"/>
        <v>357.2</v>
      </c>
      <c r="S18" s="95">
        <f t="shared" si="7"/>
        <v>37.1</v>
      </c>
      <c r="T18" s="95">
        <f t="shared" si="8"/>
        <v>1198</v>
      </c>
      <c r="U18" s="1948"/>
      <c r="V18" s="95">
        <f t="shared" si="9"/>
        <v>1198</v>
      </c>
      <c r="W18" s="95">
        <f t="shared" si="20"/>
        <v>361.8</v>
      </c>
      <c r="X18" s="284"/>
      <c r="Y18" s="112">
        <v>30</v>
      </c>
      <c r="Z18" s="113">
        <f t="shared" si="10"/>
        <v>0</v>
      </c>
      <c r="AA18" s="127"/>
      <c r="AB18" s="112">
        <v>15</v>
      </c>
      <c r="AC18" s="113">
        <f t="shared" si="11"/>
        <v>0</v>
      </c>
      <c r="AD18" s="127"/>
      <c r="AE18" s="112">
        <v>30</v>
      </c>
      <c r="AF18" s="113">
        <f t="shared" si="12"/>
        <v>0</v>
      </c>
      <c r="AG18" s="113">
        <f t="shared" si="13"/>
        <v>0</v>
      </c>
      <c r="AH18" s="113">
        <f t="shared" si="14"/>
        <v>0</v>
      </c>
      <c r="AI18" s="131">
        <f t="shared" si="15"/>
        <v>49916.67</v>
      </c>
      <c r="AK18" s="114">
        <f t="shared" si="16"/>
        <v>599</v>
      </c>
      <c r="AL18" s="114">
        <f t="shared" si="19"/>
        <v>226.5</v>
      </c>
      <c r="AM18" s="115">
        <v>0.30199999999999999</v>
      </c>
      <c r="AN18" s="263"/>
      <c r="AO18" s="263"/>
      <c r="AP18" s="263"/>
      <c r="AS18" s="99">
        <f t="shared" si="17"/>
        <v>12.7095</v>
      </c>
    </row>
    <row r="19" spans="1:45" x14ac:dyDescent="0.25">
      <c r="A19" s="284">
        <v>11</v>
      </c>
      <c r="B19" s="261" t="s">
        <v>58</v>
      </c>
      <c r="C19" s="259">
        <v>1</v>
      </c>
      <c r="D19" s="237">
        <v>11.061999999999999</v>
      </c>
      <c r="E19" s="111">
        <f t="shared" si="0"/>
        <v>11.06</v>
      </c>
      <c r="F19" s="95">
        <f t="shared" si="1"/>
        <v>132.69999999999999</v>
      </c>
      <c r="G19" s="95"/>
      <c r="H19" s="95">
        <f>5392.4/1000</f>
        <v>5.4</v>
      </c>
      <c r="I19" s="95"/>
      <c r="J19" s="95"/>
      <c r="K19" s="95">
        <f>F19*0.4</f>
        <v>53.1</v>
      </c>
      <c r="L19" s="95">
        <f t="shared" si="18"/>
        <v>36.1</v>
      </c>
      <c r="M19" s="95">
        <f t="shared" si="2"/>
        <v>227.3</v>
      </c>
      <c r="N19" s="111">
        <v>0.43</v>
      </c>
      <c r="O19" s="95">
        <f t="shared" si="3"/>
        <v>97.7</v>
      </c>
      <c r="P19" s="95">
        <f t="shared" si="4"/>
        <v>325</v>
      </c>
      <c r="Q19" s="95">
        <f t="shared" si="5"/>
        <v>260</v>
      </c>
      <c r="R19" s="95">
        <f t="shared" si="6"/>
        <v>260</v>
      </c>
      <c r="S19" s="95">
        <f t="shared" si="7"/>
        <v>27</v>
      </c>
      <c r="T19" s="95">
        <f t="shared" si="8"/>
        <v>872</v>
      </c>
      <c r="U19" s="1948"/>
      <c r="V19" s="95">
        <f t="shared" si="9"/>
        <v>872</v>
      </c>
      <c r="W19" s="95">
        <f t="shared" si="20"/>
        <v>263.3</v>
      </c>
      <c r="X19" s="284"/>
      <c r="Y19" s="112">
        <v>30</v>
      </c>
      <c r="Z19" s="113">
        <f t="shared" si="10"/>
        <v>0</v>
      </c>
      <c r="AA19" s="127"/>
      <c r="AB19" s="112">
        <v>15</v>
      </c>
      <c r="AC19" s="113">
        <f t="shared" si="11"/>
        <v>0</v>
      </c>
      <c r="AD19" s="127"/>
      <c r="AE19" s="112">
        <v>30</v>
      </c>
      <c r="AF19" s="113">
        <f t="shared" si="12"/>
        <v>0</v>
      </c>
      <c r="AG19" s="113">
        <f t="shared" si="13"/>
        <v>0</v>
      </c>
      <c r="AH19" s="113">
        <f t="shared" si="14"/>
        <v>0</v>
      </c>
      <c r="AI19" s="131">
        <f t="shared" si="15"/>
        <v>72666.67</v>
      </c>
      <c r="AK19" s="114">
        <f t="shared" si="16"/>
        <v>872</v>
      </c>
      <c r="AL19" s="114">
        <f t="shared" si="19"/>
        <v>276.2</v>
      </c>
      <c r="AM19" s="115">
        <v>0.30199999999999999</v>
      </c>
      <c r="AN19" s="50"/>
      <c r="AO19" s="50"/>
      <c r="AP19" s="50"/>
      <c r="AQ19" s="50"/>
      <c r="AS19" s="99">
        <f t="shared" si="17"/>
        <v>16.593</v>
      </c>
    </row>
    <row r="20" spans="1:45" x14ac:dyDescent="0.25">
      <c r="A20" s="284">
        <v>12</v>
      </c>
      <c r="B20" s="236" t="s">
        <v>42</v>
      </c>
      <c r="C20" s="259">
        <v>1</v>
      </c>
      <c r="D20" s="237">
        <v>11.061999999999999</v>
      </c>
      <c r="E20" s="111">
        <f t="shared" si="0"/>
        <v>11.06</v>
      </c>
      <c r="F20" s="95">
        <f t="shared" si="1"/>
        <v>132.69999999999999</v>
      </c>
      <c r="G20" s="95"/>
      <c r="H20" s="95">
        <v>7.8</v>
      </c>
      <c r="I20" s="95"/>
      <c r="J20" s="95"/>
      <c r="K20" s="95">
        <f>F20*0.2</f>
        <v>26.5</v>
      </c>
      <c r="L20" s="95">
        <f t="shared" si="18"/>
        <v>36.1</v>
      </c>
      <c r="M20" s="95">
        <f t="shared" si="2"/>
        <v>203.1</v>
      </c>
      <c r="N20" s="111">
        <v>0.43</v>
      </c>
      <c r="O20" s="95">
        <f t="shared" si="3"/>
        <v>87.3</v>
      </c>
      <c r="P20" s="95">
        <f t="shared" si="4"/>
        <v>290.39999999999998</v>
      </c>
      <c r="Q20" s="95">
        <f t="shared" si="5"/>
        <v>232.3</v>
      </c>
      <c r="R20" s="95">
        <f t="shared" si="6"/>
        <v>232.3</v>
      </c>
      <c r="S20" s="95">
        <f t="shared" si="7"/>
        <v>24.2</v>
      </c>
      <c r="T20" s="95">
        <f t="shared" si="8"/>
        <v>779.2</v>
      </c>
      <c r="U20" s="1948"/>
      <c r="V20" s="95">
        <f t="shared" si="9"/>
        <v>779.2</v>
      </c>
      <c r="W20" s="95">
        <f t="shared" si="20"/>
        <v>235.3</v>
      </c>
      <c r="X20" s="284"/>
      <c r="Y20" s="112">
        <v>30</v>
      </c>
      <c r="Z20" s="113">
        <f t="shared" si="10"/>
        <v>0</v>
      </c>
      <c r="AA20" s="127"/>
      <c r="AB20" s="112">
        <v>15</v>
      </c>
      <c r="AC20" s="113">
        <f t="shared" si="11"/>
        <v>0</v>
      </c>
      <c r="AD20" s="127"/>
      <c r="AE20" s="112">
        <v>30</v>
      </c>
      <c r="AF20" s="113">
        <f t="shared" si="12"/>
        <v>0</v>
      </c>
      <c r="AG20" s="113">
        <f t="shared" si="13"/>
        <v>0</v>
      </c>
      <c r="AH20" s="113">
        <f t="shared" si="14"/>
        <v>0</v>
      </c>
      <c r="AI20" s="131">
        <f t="shared" si="15"/>
        <v>64933.33</v>
      </c>
      <c r="AK20" s="114">
        <f t="shared" si="16"/>
        <v>779.2</v>
      </c>
      <c r="AL20" s="114">
        <f t="shared" si="19"/>
        <v>259.3</v>
      </c>
      <c r="AM20" s="115">
        <v>0.30199999999999999</v>
      </c>
      <c r="AN20" s="50"/>
      <c r="AO20" s="50"/>
      <c r="AP20" s="50"/>
      <c r="AQ20" s="50"/>
      <c r="AS20" s="99">
        <f t="shared" si="17"/>
        <v>16.593</v>
      </c>
    </row>
    <row r="21" spans="1:45" s="22" customFormat="1" ht="26.4" x14ac:dyDescent="0.25">
      <c r="A21" s="284">
        <v>13</v>
      </c>
      <c r="B21" s="52" t="s">
        <v>132</v>
      </c>
      <c r="C21" s="167">
        <v>1</v>
      </c>
      <c r="D21" s="177">
        <v>8.4730000000000008</v>
      </c>
      <c r="E21" s="171">
        <f t="shared" si="0"/>
        <v>8.4700000000000006</v>
      </c>
      <c r="F21" s="154">
        <f>E21*12</f>
        <v>101.6</v>
      </c>
      <c r="G21" s="154"/>
      <c r="H21" s="154">
        <f>4130.4/1000</f>
        <v>4.0999999999999996</v>
      </c>
      <c r="I21" s="154"/>
      <c r="J21" s="154"/>
      <c r="K21" s="154"/>
      <c r="L21" s="154">
        <f t="shared" si="18"/>
        <v>27.6</v>
      </c>
      <c r="M21" s="154">
        <f t="shared" si="2"/>
        <v>133.30000000000001</v>
      </c>
      <c r="N21" s="171">
        <v>0.47</v>
      </c>
      <c r="O21" s="154">
        <f t="shared" si="3"/>
        <v>62.7</v>
      </c>
      <c r="P21" s="154">
        <f t="shared" si="4"/>
        <v>196</v>
      </c>
      <c r="Q21" s="154">
        <f t="shared" si="5"/>
        <v>156.80000000000001</v>
      </c>
      <c r="R21" s="154">
        <f t="shared" si="6"/>
        <v>156.80000000000001</v>
      </c>
      <c r="S21" s="154">
        <f t="shared" si="7"/>
        <v>16.3</v>
      </c>
      <c r="T21" s="154">
        <f t="shared" si="8"/>
        <v>525.9</v>
      </c>
      <c r="U21" s="1948"/>
      <c r="V21" s="154">
        <f>T21*$U$9</f>
        <v>525.9</v>
      </c>
      <c r="W21" s="95">
        <f t="shared" si="20"/>
        <v>158.80000000000001</v>
      </c>
      <c r="X21" s="278"/>
      <c r="Y21" s="24">
        <v>30</v>
      </c>
      <c r="Z21" s="48">
        <f t="shared" si="10"/>
        <v>0</v>
      </c>
      <c r="AA21" s="54"/>
      <c r="AB21" s="24">
        <v>15</v>
      </c>
      <c r="AC21" s="48">
        <f t="shared" si="11"/>
        <v>0</v>
      </c>
      <c r="AD21" s="54"/>
      <c r="AE21" s="24">
        <v>30</v>
      </c>
      <c r="AF21" s="48">
        <f t="shared" si="12"/>
        <v>0</v>
      </c>
      <c r="AG21" s="48">
        <f t="shared" si="13"/>
        <v>0</v>
      </c>
      <c r="AH21" s="48">
        <f t="shared" si="14"/>
        <v>0</v>
      </c>
      <c r="AI21" s="39">
        <f t="shared" si="15"/>
        <v>43825</v>
      </c>
      <c r="AK21" s="34">
        <f t="shared" si="16"/>
        <v>525.9</v>
      </c>
      <c r="AL21" s="34">
        <f t="shared" si="19"/>
        <v>213.2</v>
      </c>
      <c r="AM21" s="51">
        <v>0.30199999999999999</v>
      </c>
      <c r="AN21" s="211"/>
      <c r="AO21" s="211"/>
      <c r="AP21" s="211"/>
      <c r="AQ21" s="211"/>
      <c r="AS21" s="22">
        <f t="shared" si="17"/>
        <v>12.7095</v>
      </c>
    </row>
    <row r="22" spans="1:45" x14ac:dyDescent="0.25">
      <c r="A22" s="284">
        <v>14</v>
      </c>
      <c r="B22" s="261" t="s">
        <v>44</v>
      </c>
      <c r="C22" s="259">
        <v>1</v>
      </c>
      <c r="D22" s="237">
        <v>11.061999999999999</v>
      </c>
      <c r="E22" s="111">
        <f t="shared" si="0"/>
        <v>11.06</v>
      </c>
      <c r="F22" s="95">
        <f t="shared" si="1"/>
        <v>132.69999999999999</v>
      </c>
      <c r="G22" s="95"/>
      <c r="H22" s="95">
        <v>7</v>
      </c>
      <c r="I22" s="95"/>
      <c r="J22" s="95"/>
      <c r="K22" s="95">
        <f>F22*0.4</f>
        <v>53.1</v>
      </c>
      <c r="L22" s="95">
        <f t="shared" si="18"/>
        <v>36.1</v>
      </c>
      <c r="M22" s="95">
        <f t="shared" si="2"/>
        <v>228.9</v>
      </c>
      <c r="N22" s="111">
        <v>0.43</v>
      </c>
      <c r="O22" s="95">
        <f t="shared" si="3"/>
        <v>98.4</v>
      </c>
      <c r="P22" s="95">
        <f t="shared" si="4"/>
        <v>327.3</v>
      </c>
      <c r="Q22" s="95">
        <f t="shared" si="5"/>
        <v>261.8</v>
      </c>
      <c r="R22" s="95">
        <f t="shared" si="6"/>
        <v>261.8</v>
      </c>
      <c r="S22" s="95">
        <f t="shared" si="7"/>
        <v>27.2</v>
      </c>
      <c r="T22" s="95">
        <f t="shared" si="8"/>
        <v>878.1</v>
      </c>
      <c r="U22" s="1948"/>
      <c r="V22" s="95">
        <f t="shared" si="9"/>
        <v>878.1</v>
      </c>
      <c r="W22" s="95">
        <f t="shared" si="20"/>
        <v>265.2</v>
      </c>
      <c r="X22" s="284">
        <v>1</v>
      </c>
      <c r="Y22" s="112">
        <v>30</v>
      </c>
      <c r="Z22" s="113">
        <f t="shared" si="10"/>
        <v>30</v>
      </c>
      <c r="AA22" s="127">
        <v>1</v>
      </c>
      <c r="AB22" s="112">
        <v>15</v>
      </c>
      <c r="AC22" s="113">
        <f t="shared" si="11"/>
        <v>15</v>
      </c>
      <c r="AD22" s="127"/>
      <c r="AE22" s="112">
        <v>30</v>
      </c>
      <c r="AF22" s="113">
        <f t="shared" si="12"/>
        <v>0</v>
      </c>
      <c r="AG22" s="113">
        <f t="shared" si="13"/>
        <v>13.5</v>
      </c>
      <c r="AH22" s="113">
        <f t="shared" si="14"/>
        <v>58.5</v>
      </c>
      <c r="AI22" s="131">
        <f t="shared" si="15"/>
        <v>73175</v>
      </c>
      <c r="AK22" s="114">
        <f t="shared" si="16"/>
        <v>878.1</v>
      </c>
      <c r="AL22" s="114">
        <f t="shared" si="19"/>
        <v>277.3</v>
      </c>
      <c r="AM22" s="115">
        <v>0.30199999999999999</v>
      </c>
      <c r="AN22" s="50"/>
      <c r="AO22" s="50"/>
      <c r="AP22" s="50"/>
      <c r="AQ22" s="50"/>
      <c r="AS22" s="99">
        <f t="shared" si="17"/>
        <v>16.593</v>
      </c>
    </row>
    <row r="23" spans="1:45" x14ac:dyDescent="0.25">
      <c r="A23" s="284">
        <v>15</v>
      </c>
      <c r="B23" s="236" t="s">
        <v>33</v>
      </c>
      <c r="C23" s="174">
        <v>1</v>
      </c>
      <c r="D23" s="237">
        <v>8.4730000000000008</v>
      </c>
      <c r="E23" s="111">
        <f t="shared" si="0"/>
        <v>8.4700000000000006</v>
      </c>
      <c r="F23" s="95">
        <f t="shared" si="1"/>
        <v>101.6</v>
      </c>
      <c r="G23" s="95">
        <f>4015.6/1000</f>
        <v>4</v>
      </c>
      <c r="H23" s="95">
        <f>5782.5/1000</f>
        <v>5.8</v>
      </c>
      <c r="I23" s="95"/>
      <c r="J23" s="95"/>
      <c r="K23" s="95">
        <f>D23*0.2*7.6+D23*0.25*4.4</f>
        <v>22.2</v>
      </c>
      <c r="L23" s="95">
        <f t="shared" si="18"/>
        <v>27.6</v>
      </c>
      <c r="M23" s="95">
        <f t="shared" si="2"/>
        <v>161.19999999999999</v>
      </c>
      <c r="N23" s="111">
        <v>0.41</v>
      </c>
      <c r="O23" s="95">
        <f t="shared" si="3"/>
        <v>66.099999999999994</v>
      </c>
      <c r="P23" s="95">
        <f t="shared" si="4"/>
        <v>227.3</v>
      </c>
      <c r="Q23" s="95">
        <f t="shared" si="5"/>
        <v>181.8</v>
      </c>
      <c r="R23" s="95">
        <f t="shared" si="6"/>
        <v>181.8</v>
      </c>
      <c r="S23" s="95">
        <f t="shared" si="7"/>
        <v>18.899999999999999</v>
      </c>
      <c r="T23" s="95">
        <f t="shared" si="8"/>
        <v>609.79999999999995</v>
      </c>
      <c r="U23" s="1948"/>
      <c r="V23" s="95">
        <f t="shared" si="9"/>
        <v>609.79999999999995</v>
      </c>
      <c r="W23" s="95">
        <f t="shared" si="20"/>
        <v>184.2</v>
      </c>
      <c r="X23" s="238">
        <v>1</v>
      </c>
      <c r="Y23" s="240">
        <v>30</v>
      </c>
      <c r="Z23" s="241">
        <f t="shared" si="10"/>
        <v>30</v>
      </c>
      <c r="AA23" s="238"/>
      <c r="AB23" s="240">
        <v>15</v>
      </c>
      <c r="AC23" s="241">
        <f t="shared" si="11"/>
        <v>0</v>
      </c>
      <c r="AD23" s="238">
        <v>1</v>
      </c>
      <c r="AE23" s="240">
        <v>30</v>
      </c>
      <c r="AF23" s="241">
        <f t="shared" si="12"/>
        <v>30</v>
      </c>
      <c r="AG23" s="241">
        <f t="shared" si="13"/>
        <v>18</v>
      </c>
      <c r="AH23" s="241">
        <f t="shared" si="14"/>
        <v>78</v>
      </c>
      <c r="AI23" s="131">
        <f t="shared" si="15"/>
        <v>50816.67</v>
      </c>
      <c r="AK23" s="114">
        <f t="shared" si="16"/>
        <v>609.79999999999995</v>
      </c>
      <c r="AL23" s="114">
        <f t="shared" si="19"/>
        <v>228.5</v>
      </c>
      <c r="AM23" s="115">
        <v>0.30199999999999999</v>
      </c>
      <c r="AN23" s="263"/>
      <c r="AO23" s="263"/>
      <c r="AP23" s="263"/>
      <c r="AS23" s="99">
        <f t="shared" si="17"/>
        <v>12.7095</v>
      </c>
    </row>
    <row r="24" spans="1:45" x14ac:dyDescent="0.25">
      <c r="A24" s="284">
        <v>16</v>
      </c>
      <c r="B24" s="236" t="s">
        <v>102</v>
      </c>
      <c r="C24" s="174">
        <v>0.5</v>
      </c>
      <c r="D24" s="237">
        <v>4.3769999999999998</v>
      </c>
      <c r="E24" s="111">
        <f t="shared" si="0"/>
        <v>2.19</v>
      </c>
      <c r="F24" s="95">
        <f t="shared" si="1"/>
        <v>26.3</v>
      </c>
      <c r="G24" s="95"/>
      <c r="H24" s="95"/>
      <c r="I24" s="95"/>
      <c r="J24" s="95"/>
      <c r="K24" s="95"/>
      <c r="L24" s="95">
        <f t="shared" si="18"/>
        <v>7.2</v>
      </c>
      <c r="M24" s="95">
        <f t="shared" si="2"/>
        <v>33.5</v>
      </c>
      <c r="N24" s="111">
        <v>0.49</v>
      </c>
      <c r="O24" s="95">
        <f t="shared" si="3"/>
        <v>16.399999999999999</v>
      </c>
      <c r="P24" s="95">
        <f t="shared" si="4"/>
        <v>49.9</v>
      </c>
      <c r="Q24" s="95">
        <f t="shared" si="5"/>
        <v>39.9</v>
      </c>
      <c r="R24" s="95">
        <f t="shared" si="6"/>
        <v>39.9</v>
      </c>
      <c r="S24" s="95">
        <f t="shared" si="7"/>
        <v>4.2</v>
      </c>
      <c r="T24" s="95">
        <f t="shared" si="8"/>
        <v>133.9</v>
      </c>
      <c r="U24" s="1948"/>
      <c r="V24" s="95">
        <f t="shared" si="9"/>
        <v>133.9</v>
      </c>
      <c r="W24" s="95">
        <f t="shared" si="20"/>
        <v>40.4</v>
      </c>
      <c r="X24" s="238"/>
      <c r="Y24" s="240"/>
      <c r="Z24" s="241"/>
      <c r="AA24" s="238"/>
      <c r="AB24" s="240"/>
      <c r="AC24" s="241"/>
      <c r="AD24" s="238"/>
      <c r="AE24" s="240"/>
      <c r="AF24" s="241"/>
      <c r="AG24" s="241"/>
      <c r="AH24" s="241"/>
      <c r="AI24" s="131"/>
      <c r="AK24" s="114"/>
      <c r="AL24" s="114"/>
      <c r="AM24" s="115"/>
      <c r="AN24" s="263"/>
      <c r="AO24" s="263"/>
      <c r="AP24" s="263"/>
      <c r="AS24" s="99">
        <f t="shared" si="17"/>
        <v>6.5655000000000001</v>
      </c>
    </row>
    <row r="25" spans="1:45" x14ac:dyDescent="0.25">
      <c r="A25" s="284">
        <v>17</v>
      </c>
      <c r="B25" s="236" t="s">
        <v>136</v>
      </c>
      <c r="C25" s="174">
        <v>0.5</v>
      </c>
      <c r="D25" s="237">
        <v>4.3769999999999998</v>
      </c>
      <c r="E25" s="111">
        <f t="shared" si="0"/>
        <v>2.19</v>
      </c>
      <c r="F25" s="95">
        <f t="shared" si="1"/>
        <v>26.3</v>
      </c>
      <c r="G25" s="95"/>
      <c r="H25" s="95"/>
      <c r="I25" s="95"/>
      <c r="J25" s="95"/>
      <c r="K25" s="95"/>
      <c r="L25" s="95">
        <f t="shared" si="18"/>
        <v>7.2</v>
      </c>
      <c r="M25" s="95">
        <f t="shared" si="2"/>
        <v>33.5</v>
      </c>
      <c r="N25" s="111">
        <v>0.49</v>
      </c>
      <c r="O25" s="95">
        <f t="shared" si="3"/>
        <v>16.399999999999999</v>
      </c>
      <c r="P25" s="95">
        <f t="shared" si="4"/>
        <v>49.9</v>
      </c>
      <c r="Q25" s="95">
        <f t="shared" si="5"/>
        <v>39.9</v>
      </c>
      <c r="R25" s="95">
        <f t="shared" si="6"/>
        <v>39.9</v>
      </c>
      <c r="S25" s="95">
        <f t="shared" si="7"/>
        <v>4.2</v>
      </c>
      <c r="T25" s="95">
        <f t="shared" si="8"/>
        <v>133.9</v>
      </c>
      <c r="U25" s="1948"/>
      <c r="V25" s="95">
        <f t="shared" si="9"/>
        <v>133.9</v>
      </c>
      <c r="W25" s="95">
        <f t="shared" si="20"/>
        <v>40.4</v>
      </c>
      <c r="X25" s="238"/>
      <c r="Y25" s="240"/>
      <c r="Z25" s="241"/>
      <c r="AA25" s="238"/>
      <c r="AB25" s="240"/>
      <c r="AC25" s="241"/>
      <c r="AD25" s="238"/>
      <c r="AE25" s="240"/>
      <c r="AF25" s="241"/>
      <c r="AG25" s="241"/>
      <c r="AH25" s="241"/>
      <c r="AI25" s="131"/>
      <c r="AK25" s="114"/>
      <c r="AL25" s="114"/>
      <c r="AM25" s="115"/>
      <c r="AN25" s="263"/>
      <c r="AO25" s="263"/>
      <c r="AP25" s="263"/>
      <c r="AS25" s="99">
        <f t="shared" si="17"/>
        <v>6.5655000000000001</v>
      </c>
    </row>
    <row r="26" spans="1:45" s="245" customFormat="1" x14ac:dyDescent="0.25">
      <c r="A26" s="284">
        <v>18</v>
      </c>
      <c r="B26" s="236" t="s">
        <v>60</v>
      </c>
      <c r="C26" s="262">
        <v>2</v>
      </c>
      <c r="D26" s="247">
        <v>4.3769999999999998</v>
      </c>
      <c r="E26" s="249">
        <f t="shared" si="0"/>
        <v>8.75</v>
      </c>
      <c r="F26" s="248">
        <f t="shared" si="1"/>
        <v>105</v>
      </c>
      <c r="G26" s="248">
        <f>12446.4/1000</f>
        <v>12.4</v>
      </c>
      <c r="H26" s="248">
        <f>5974.3/1000</f>
        <v>6</v>
      </c>
      <c r="I26" s="248"/>
      <c r="J26" s="248"/>
      <c r="K26" s="248"/>
      <c r="L26" s="95">
        <v>59</v>
      </c>
      <c r="M26" s="248">
        <f t="shared" si="2"/>
        <v>182.4</v>
      </c>
      <c r="N26" s="111">
        <v>0.49</v>
      </c>
      <c r="O26" s="248">
        <f t="shared" si="3"/>
        <v>89.4</v>
      </c>
      <c r="P26" s="248">
        <f t="shared" si="4"/>
        <v>271.8</v>
      </c>
      <c r="Q26" s="248">
        <f t="shared" si="5"/>
        <v>217.4</v>
      </c>
      <c r="R26" s="248">
        <f t="shared" si="6"/>
        <v>217.4</v>
      </c>
      <c r="S26" s="248">
        <f t="shared" si="7"/>
        <v>22.6</v>
      </c>
      <c r="T26" s="248">
        <f t="shared" si="8"/>
        <v>729.2</v>
      </c>
      <c r="U26" s="1948"/>
      <c r="V26" s="248">
        <f t="shared" si="9"/>
        <v>729.2</v>
      </c>
      <c r="W26" s="95">
        <f t="shared" si="20"/>
        <v>220.2</v>
      </c>
      <c r="X26" s="246">
        <v>1</v>
      </c>
      <c r="Y26" s="240">
        <v>30</v>
      </c>
      <c r="Z26" s="241">
        <f t="shared" si="10"/>
        <v>30</v>
      </c>
      <c r="AA26" s="246"/>
      <c r="AB26" s="240">
        <v>15</v>
      </c>
      <c r="AC26" s="241">
        <f t="shared" si="11"/>
        <v>0</v>
      </c>
      <c r="AD26" s="246"/>
      <c r="AE26" s="240">
        <v>30</v>
      </c>
      <c r="AF26" s="241">
        <f t="shared" si="12"/>
        <v>0</v>
      </c>
      <c r="AG26" s="241">
        <f t="shared" si="13"/>
        <v>9</v>
      </c>
      <c r="AH26" s="241">
        <f t="shared" si="14"/>
        <v>39</v>
      </c>
      <c r="AI26" s="131">
        <f>V26/12/C26*1000</f>
        <v>30383.33</v>
      </c>
      <c r="AK26" s="114">
        <f>V26/C26</f>
        <v>364.6</v>
      </c>
      <c r="AL26" s="114">
        <f t="shared" si="19"/>
        <v>183.8</v>
      </c>
      <c r="AM26" s="115">
        <v>0.30199999999999999</v>
      </c>
      <c r="AN26" s="211"/>
      <c r="AO26" s="211"/>
      <c r="AP26" s="211"/>
      <c r="AQ26" s="211"/>
      <c r="AS26" s="99">
        <f t="shared" si="17"/>
        <v>6.5655000000000001</v>
      </c>
    </row>
    <row r="27" spans="1:45" x14ac:dyDescent="0.25">
      <c r="A27" s="284">
        <v>19</v>
      </c>
      <c r="B27" s="261" t="s">
        <v>94</v>
      </c>
      <c r="C27" s="264">
        <v>2</v>
      </c>
      <c r="D27" s="237">
        <v>4.3769999999999998</v>
      </c>
      <c r="E27" s="111">
        <f t="shared" si="0"/>
        <v>8.75</v>
      </c>
      <c r="F27" s="95">
        <f t="shared" si="1"/>
        <v>105</v>
      </c>
      <c r="G27" s="95">
        <f>2074.4/1000</f>
        <v>2.1</v>
      </c>
      <c r="H27" s="95">
        <f>5.974</f>
        <v>6</v>
      </c>
      <c r="I27" s="95"/>
      <c r="J27" s="95"/>
      <c r="K27" s="95"/>
      <c r="L27" s="95">
        <v>70.8</v>
      </c>
      <c r="M27" s="95">
        <f t="shared" si="2"/>
        <v>183.9</v>
      </c>
      <c r="N27" s="111">
        <v>0.47</v>
      </c>
      <c r="O27" s="95">
        <f t="shared" si="3"/>
        <v>86.4</v>
      </c>
      <c r="P27" s="95">
        <f t="shared" si="4"/>
        <v>270.3</v>
      </c>
      <c r="Q27" s="95">
        <f t="shared" si="5"/>
        <v>216.2</v>
      </c>
      <c r="R27" s="95">
        <f t="shared" si="6"/>
        <v>216.2</v>
      </c>
      <c r="S27" s="95">
        <f t="shared" si="7"/>
        <v>22.5</v>
      </c>
      <c r="T27" s="95">
        <f t="shared" si="8"/>
        <v>725.2</v>
      </c>
      <c r="U27" s="1948"/>
      <c r="V27" s="95">
        <f>T27*$U$9+0.1</f>
        <v>725.3</v>
      </c>
      <c r="W27" s="95">
        <f t="shared" si="20"/>
        <v>219</v>
      </c>
      <c r="X27" s="284">
        <v>1</v>
      </c>
      <c r="Y27" s="112">
        <v>30</v>
      </c>
      <c r="Z27" s="113">
        <f t="shared" si="10"/>
        <v>30</v>
      </c>
      <c r="AA27" s="284"/>
      <c r="AB27" s="112">
        <v>15</v>
      </c>
      <c r="AC27" s="113">
        <f t="shared" si="11"/>
        <v>0</v>
      </c>
      <c r="AD27" s="284"/>
      <c r="AE27" s="112">
        <v>30</v>
      </c>
      <c r="AF27" s="113">
        <f t="shared" si="12"/>
        <v>0</v>
      </c>
      <c r="AG27" s="113">
        <f t="shared" si="13"/>
        <v>9</v>
      </c>
      <c r="AH27" s="113">
        <f t="shared" si="14"/>
        <v>39</v>
      </c>
      <c r="AI27" s="131">
        <f>V27/12/C27*1000</f>
        <v>30220.83</v>
      </c>
      <c r="AK27" s="114">
        <f>V27/C27</f>
        <v>362.7</v>
      </c>
      <c r="AL27" s="114">
        <f t="shared" si="19"/>
        <v>183.5</v>
      </c>
      <c r="AM27" s="115">
        <v>0.30199999999999999</v>
      </c>
      <c r="AS27" s="99">
        <f t="shared" si="17"/>
        <v>6.5655000000000001</v>
      </c>
    </row>
    <row r="28" spans="1:45" s="98" customFormat="1" ht="20.25" customHeight="1" x14ac:dyDescent="0.25">
      <c r="A28" s="1950" t="s">
        <v>8</v>
      </c>
      <c r="B28" s="1950"/>
      <c r="C28" s="265">
        <f>SUM(C9:C27)</f>
        <v>25</v>
      </c>
      <c r="D28" s="266">
        <f t="shared" ref="D28:T28" si="21">SUM(D9:D27)</f>
        <v>187.6</v>
      </c>
      <c r="E28" s="266">
        <f t="shared" si="21"/>
        <v>251.7</v>
      </c>
      <c r="F28" s="266">
        <f t="shared" si="21"/>
        <v>3020.1</v>
      </c>
      <c r="G28" s="266">
        <f t="shared" si="21"/>
        <v>18.5</v>
      </c>
      <c r="H28" s="266">
        <f t="shared" si="21"/>
        <v>110.7</v>
      </c>
      <c r="I28" s="266">
        <f t="shared" si="21"/>
        <v>0</v>
      </c>
      <c r="J28" s="266">
        <f t="shared" si="21"/>
        <v>0</v>
      </c>
      <c r="K28" s="266">
        <f t="shared" si="21"/>
        <v>703.9</v>
      </c>
      <c r="L28" s="266">
        <f t="shared" si="21"/>
        <v>894.2</v>
      </c>
      <c r="M28" s="266">
        <f t="shared" si="21"/>
        <v>4747.3999999999996</v>
      </c>
      <c r="N28" s="266">
        <f t="shared" si="21"/>
        <v>8.5</v>
      </c>
      <c r="O28" s="266">
        <f t="shared" si="21"/>
        <v>2108</v>
      </c>
      <c r="P28" s="266">
        <f t="shared" si="21"/>
        <v>6855.4</v>
      </c>
      <c r="Q28" s="266">
        <f t="shared" si="21"/>
        <v>5484.1</v>
      </c>
      <c r="R28" s="266">
        <f t="shared" si="21"/>
        <v>5484.1</v>
      </c>
      <c r="S28" s="266">
        <f t="shared" si="21"/>
        <v>570.29999999999995</v>
      </c>
      <c r="T28" s="266">
        <f t="shared" si="21"/>
        <v>18393.900000000001</v>
      </c>
      <c r="U28" s="266"/>
      <c r="V28" s="266">
        <f t="shared" ref="V28:AH28" si="22">SUM(V9:V27)</f>
        <v>18394</v>
      </c>
      <c r="W28" s="266">
        <f>SUM(W9:W27)</f>
        <v>5400.8</v>
      </c>
      <c r="X28" s="266">
        <f t="shared" si="22"/>
        <v>8</v>
      </c>
      <c r="Y28" s="266">
        <f t="shared" si="22"/>
        <v>510</v>
      </c>
      <c r="Z28" s="266">
        <f t="shared" si="22"/>
        <v>240</v>
      </c>
      <c r="AA28" s="266">
        <f t="shared" si="22"/>
        <v>1</v>
      </c>
      <c r="AB28" s="266">
        <f t="shared" si="22"/>
        <v>255</v>
      </c>
      <c r="AC28" s="266">
        <f t="shared" si="22"/>
        <v>15</v>
      </c>
      <c r="AD28" s="266">
        <f t="shared" si="22"/>
        <v>3</v>
      </c>
      <c r="AE28" s="266">
        <f t="shared" si="22"/>
        <v>510</v>
      </c>
      <c r="AF28" s="266">
        <f t="shared" si="22"/>
        <v>90</v>
      </c>
      <c r="AG28" s="266">
        <f t="shared" si="22"/>
        <v>103.5</v>
      </c>
      <c r="AH28" s="266">
        <f t="shared" si="22"/>
        <v>448.5</v>
      </c>
      <c r="AI28" s="131"/>
      <c r="AK28" s="114"/>
      <c r="AL28" s="114"/>
      <c r="AM28" s="115"/>
      <c r="AN28" s="211"/>
      <c r="AO28" s="211"/>
      <c r="AP28" s="211"/>
      <c r="AQ28" s="211"/>
      <c r="AS28" s="99"/>
    </row>
    <row r="29" spans="1:45" s="98" customFormat="1" ht="20.25" customHeight="1" x14ac:dyDescent="0.25">
      <c r="A29" s="267"/>
      <c r="B29" s="268"/>
      <c r="C29" s="269"/>
      <c r="D29" s="270"/>
      <c r="E29" s="270"/>
      <c r="F29" s="270"/>
      <c r="G29" s="270"/>
      <c r="H29" s="270"/>
      <c r="I29" s="270"/>
      <c r="J29" s="270"/>
      <c r="K29" s="270"/>
      <c r="L29" s="270"/>
      <c r="M29" s="270"/>
      <c r="N29" s="270"/>
      <c r="O29" s="270"/>
      <c r="P29" s="270"/>
      <c r="Q29" s="270"/>
      <c r="R29" s="270"/>
      <c r="S29" s="270"/>
      <c r="T29" s="270"/>
      <c r="U29" s="270"/>
      <c r="V29" s="270"/>
      <c r="W29" s="66"/>
      <c r="X29" s="270"/>
      <c r="Y29" s="270"/>
      <c r="Z29" s="270"/>
      <c r="AA29" s="270"/>
      <c r="AB29" s="270"/>
      <c r="AC29" s="270"/>
      <c r="AD29" s="270"/>
      <c r="AE29" s="270"/>
      <c r="AF29" s="270"/>
      <c r="AG29" s="270"/>
      <c r="AH29" s="270"/>
      <c r="AI29" s="131"/>
      <c r="AK29" s="114"/>
      <c r="AL29" s="114"/>
      <c r="AM29" s="115"/>
      <c r="AN29" s="211"/>
      <c r="AO29" s="211"/>
      <c r="AP29" s="211"/>
      <c r="AQ29" s="211"/>
    </row>
    <row r="30" spans="1:45" s="75" customFormat="1" x14ac:dyDescent="0.25">
      <c r="A30" s="70"/>
      <c r="B30" s="70"/>
      <c r="C30" s="71"/>
      <c r="D30" s="271"/>
      <c r="E30" s="72"/>
      <c r="F30" s="72"/>
      <c r="G30" s="72"/>
      <c r="H30" s="73"/>
      <c r="I30" s="73"/>
      <c r="J30" s="27"/>
      <c r="K30" s="27"/>
      <c r="L30" s="27"/>
      <c r="M30" s="27"/>
      <c r="N30" s="74"/>
      <c r="O30" s="27"/>
      <c r="P30" s="27"/>
      <c r="Q30" s="27"/>
      <c r="R30" s="27"/>
      <c r="S30" s="27"/>
      <c r="T30" s="27"/>
      <c r="U30" s="27"/>
      <c r="V30" s="27"/>
      <c r="W30" s="27"/>
      <c r="X30" s="27"/>
      <c r="Y30" s="27"/>
      <c r="Z30" s="27"/>
      <c r="AA30" s="27"/>
      <c r="AB30" s="27"/>
      <c r="AC30" s="27"/>
      <c r="AD30" s="27"/>
      <c r="AE30" s="27"/>
      <c r="AF30" s="27"/>
      <c r="AG30" s="27"/>
      <c r="AH30" s="27"/>
      <c r="AI30" s="27"/>
      <c r="AJ30" s="76"/>
      <c r="AN30" s="76"/>
      <c r="AO30" s="76"/>
      <c r="AP30" s="76"/>
      <c r="AQ30" s="76"/>
      <c r="AR30" s="76"/>
    </row>
    <row r="31" spans="1:45" s="75" customFormat="1" ht="58.5" customHeight="1" x14ac:dyDescent="0.25">
      <c r="A31" s="70"/>
      <c r="B31" s="70"/>
      <c r="C31" s="71"/>
      <c r="D31" s="77"/>
      <c r="E31" s="77"/>
      <c r="F31" s="27"/>
      <c r="G31" s="1545" t="s">
        <v>140</v>
      </c>
      <c r="H31" s="1545"/>
      <c r="I31" s="1545" t="s">
        <v>145</v>
      </c>
      <c r="J31" s="1545"/>
      <c r="K31" s="1545" t="s">
        <v>128</v>
      </c>
      <c r="L31" s="1545"/>
      <c r="Q31" s="27"/>
      <c r="R31" s="27"/>
      <c r="S31" s="27"/>
      <c r="T31" s="27"/>
      <c r="U31" s="27"/>
      <c r="V31" s="27"/>
      <c r="W31" s="27"/>
      <c r="X31" s="27"/>
      <c r="Y31" s="27"/>
      <c r="Z31" s="27"/>
      <c r="AA31" s="27"/>
      <c r="AB31" s="27"/>
      <c r="AC31" s="27"/>
      <c r="AD31" s="27"/>
      <c r="AE31" s="27"/>
      <c r="AF31" s="27"/>
      <c r="AG31" s="27"/>
      <c r="AH31" s="27"/>
      <c r="AI31" s="27"/>
      <c r="AJ31" s="76"/>
      <c r="AN31" s="76"/>
      <c r="AO31" s="76"/>
      <c r="AP31" s="76"/>
      <c r="AQ31" s="76"/>
      <c r="AR31" s="76"/>
    </row>
    <row r="32" spans="1:45" s="75" customFormat="1" x14ac:dyDescent="0.25">
      <c r="A32" s="70"/>
      <c r="B32" s="70"/>
      <c r="C32" s="71"/>
      <c r="D32" s="77"/>
      <c r="E32" s="77"/>
      <c r="F32" s="27"/>
      <c r="G32" s="279">
        <v>991</v>
      </c>
      <c r="H32" s="279">
        <v>992</v>
      </c>
      <c r="I32" s="279">
        <v>991</v>
      </c>
      <c r="J32" s="279">
        <v>992</v>
      </c>
      <c r="K32" s="279">
        <v>991</v>
      </c>
      <c r="L32" s="279">
        <v>992</v>
      </c>
      <c r="Q32" s="27"/>
      <c r="R32" s="27"/>
      <c r="S32" s="27"/>
      <c r="T32" s="27"/>
      <c r="U32" s="27"/>
      <c r="V32" s="27"/>
      <c r="W32" s="27"/>
      <c r="X32" s="27"/>
      <c r="Y32" s="27"/>
      <c r="Z32" s="27"/>
      <c r="AA32" s="27"/>
      <c r="AB32" s="27"/>
      <c r="AC32" s="27"/>
      <c r="AD32" s="27"/>
      <c r="AE32" s="27"/>
      <c r="AF32" s="27"/>
      <c r="AG32" s="27"/>
      <c r="AH32" s="27"/>
      <c r="AI32" s="27"/>
      <c r="AJ32" s="76"/>
      <c r="AN32" s="76"/>
      <c r="AO32" s="76"/>
      <c r="AP32" s="76"/>
      <c r="AQ32" s="76"/>
      <c r="AR32" s="76"/>
    </row>
    <row r="33" spans="1:44" s="75" customFormat="1" x14ac:dyDescent="0.25">
      <c r="A33" s="70"/>
      <c r="B33" s="70"/>
      <c r="C33" s="71"/>
      <c r="D33" s="77"/>
      <c r="E33" s="77"/>
      <c r="F33" s="27"/>
      <c r="G33" s="29">
        <v>18394</v>
      </c>
      <c r="H33" s="29">
        <v>5393.9</v>
      </c>
      <c r="I33" s="29">
        <f>V28</f>
        <v>18394</v>
      </c>
      <c r="J33" s="29">
        <f>W28</f>
        <v>5400.8</v>
      </c>
      <c r="K33" s="29">
        <f>G33-I33</f>
        <v>0</v>
      </c>
      <c r="L33" s="29">
        <f>H33-J33</f>
        <v>-6.9</v>
      </c>
      <c r="Q33" s="27"/>
      <c r="R33" s="27"/>
      <c r="S33" s="27"/>
      <c r="T33" s="27"/>
      <c r="U33" s="27"/>
      <c r="V33" s="27"/>
      <c r="W33" s="27"/>
      <c r="X33" s="27"/>
      <c r="Y33" s="27"/>
      <c r="Z33" s="27"/>
      <c r="AA33" s="27"/>
      <c r="AB33" s="27"/>
      <c r="AC33" s="27"/>
      <c r="AD33" s="27"/>
      <c r="AE33" s="27"/>
      <c r="AF33" s="27"/>
      <c r="AG33" s="27"/>
      <c r="AH33" s="27"/>
      <c r="AI33" s="27"/>
      <c r="AJ33" s="76"/>
      <c r="AN33" s="76"/>
      <c r="AO33" s="76"/>
      <c r="AP33" s="76"/>
      <c r="AQ33" s="76"/>
      <c r="AR33" s="76"/>
    </row>
    <row r="38" spans="1:44" s="282" customFormat="1" ht="21" x14ac:dyDescent="0.25">
      <c r="A38" s="81"/>
      <c r="B38" s="82" t="s">
        <v>138</v>
      </c>
      <c r="C38" s="83"/>
      <c r="D38" s="84"/>
      <c r="E38" s="84"/>
      <c r="F38" s="85"/>
      <c r="G38" s="85"/>
      <c r="H38" s="86"/>
      <c r="I38" s="86"/>
      <c r="J38" s="85"/>
      <c r="K38" s="30" t="s">
        <v>166</v>
      </c>
      <c r="L38" s="85"/>
      <c r="M38" s="85"/>
      <c r="N38" s="87"/>
      <c r="O38" s="85"/>
      <c r="P38" s="85"/>
      <c r="Q38" s="85"/>
      <c r="R38" s="85"/>
      <c r="S38" s="85"/>
      <c r="T38" s="85"/>
      <c r="U38" s="85"/>
      <c r="V38" s="85"/>
      <c r="W38" s="85"/>
      <c r="X38" s="85"/>
      <c r="Y38" s="85"/>
      <c r="Z38" s="85"/>
      <c r="AA38" s="85"/>
      <c r="AB38" s="85"/>
      <c r="AC38" s="85"/>
      <c r="AD38" s="85"/>
      <c r="AE38" s="85"/>
      <c r="AF38" s="85"/>
      <c r="AG38" s="85"/>
      <c r="AH38" s="85"/>
      <c r="AI38" s="85"/>
      <c r="AK38" s="88"/>
      <c r="AL38" s="88"/>
      <c r="AM38" s="88"/>
      <c r="AN38" s="88"/>
      <c r="AO38" s="88"/>
    </row>
    <row r="39" spans="1:44" s="143" customFormat="1" x14ac:dyDescent="0.25">
      <c r="A39" s="136"/>
      <c r="B39" s="136"/>
      <c r="C39" s="137"/>
      <c r="D39" s="144"/>
      <c r="E39" s="144"/>
      <c r="F39" s="140"/>
      <c r="G39" s="140"/>
      <c r="H39" s="139"/>
      <c r="I39" s="139"/>
      <c r="J39" s="140"/>
      <c r="K39" s="140"/>
      <c r="L39" s="140"/>
      <c r="M39" s="140"/>
      <c r="N39" s="141"/>
      <c r="O39" s="140"/>
      <c r="P39" s="140"/>
      <c r="Q39" s="140"/>
      <c r="R39" s="140"/>
      <c r="S39" s="140"/>
      <c r="T39" s="140"/>
      <c r="U39" s="140"/>
      <c r="V39" s="140"/>
      <c r="W39" s="140"/>
      <c r="X39" s="140"/>
      <c r="Y39" s="140"/>
      <c r="Z39" s="140"/>
      <c r="AA39" s="140"/>
      <c r="AB39" s="140"/>
      <c r="AC39" s="140"/>
      <c r="AD39" s="140"/>
      <c r="AE39" s="140"/>
      <c r="AF39" s="142"/>
      <c r="AK39" s="142"/>
      <c r="AL39" s="142"/>
      <c r="AM39" s="142"/>
      <c r="AN39" s="76"/>
      <c r="AO39" s="76"/>
      <c r="AP39" s="76"/>
      <c r="AQ39" s="76"/>
      <c r="AR39" s="99"/>
    </row>
    <row r="40" spans="1:44" s="143" customFormat="1" x14ac:dyDescent="0.25">
      <c r="A40" s="136"/>
      <c r="B40" s="136"/>
      <c r="C40" s="137"/>
      <c r="D40" s="144"/>
      <c r="E40" s="144"/>
      <c r="F40" s="140"/>
      <c r="G40" s="140"/>
      <c r="H40" s="139"/>
      <c r="I40" s="139"/>
      <c r="J40" s="140"/>
      <c r="K40" s="140"/>
      <c r="L40" s="140"/>
      <c r="M40" s="140"/>
      <c r="N40" s="202"/>
      <c r="O40" s="203"/>
      <c r="P40" s="140"/>
      <c r="Q40" s="140"/>
      <c r="R40" s="140"/>
      <c r="S40" s="140"/>
      <c r="T40" s="140"/>
      <c r="U40" s="140"/>
      <c r="V40" s="140"/>
      <c r="W40" s="140"/>
      <c r="X40" s="140"/>
      <c r="Y40" s="140"/>
      <c r="Z40" s="140"/>
      <c r="AA40" s="140"/>
      <c r="AB40" s="140"/>
      <c r="AC40" s="140"/>
      <c r="AD40" s="140"/>
      <c r="AE40" s="140"/>
      <c r="AF40" s="142"/>
      <c r="AK40" s="142"/>
      <c r="AL40" s="142"/>
      <c r="AM40" s="142"/>
      <c r="AN40" s="76"/>
      <c r="AO40" s="76"/>
      <c r="AP40" s="76"/>
      <c r="AQ40" s="76"/>
      <c r="AR40" s="252"/>
    </row>
    <row r="41" spans="1:44" s="143" customFormat="1" ht="20.25" customHeight="1" x14ac:dyDescent="0.25">
      <c r="A41" s="145" t="s">
        <v>96</v>
      </c>
      <c r="B41" s="145"/>
      <c r="C41" s="146"/>
      <c r="D41" s="146"/>
      <c r="E41" s="146"/>
      <c r="F41" s="146"/>
      <c r="G41" s="146"/>
      <c r="H41" s="146"/>
      <c r="I41" s="146"/>
      <c r="J41" s="146"/>
      <c r="K41" s="146"/>
      <c r="L41" s="147"/>
      <c r="M41" s="147"/>
      <c r="N41" s="202"/>
      <c r="O41" s="203"/>
      <c r="P41" s="147"/>
      <c r="Q41" s="147"/>
      <c r="R41" s="147"/>
      <c r="S41" s="147"/>
      <c r="T41" s="147"/>
      <c r="U41" s="147"/>
      <c r="V41" s="147"/>
      <c r="W41" s="147"/>
      <c r="X41" s="147"/>
      <c r="Y41" s="147"/>
      <c r="Z41" s="147"/>
      <c r="AA41" s="147"/>
      <c r="AB41" s="147"/>
      <c r="AC41" s="147"/>
      <c r="AD41" s="147"/>
      <c r="AE41" s="147"/>
      <c r="AF41" s="142"/>
      <c r="AK41" s="142"/>
      <c r="AL41" s="142"/>
      <c r="AM41" s="142"/>
      <c r="AN41" s="76"/>
      <c r="AO41" s="76"/>
      <c r="AP41" s="76"/>
      <c r="AQ41" s="76"/>
      <c r="AR41" s="99"/>
    </row>
    <row r="42" spans="1:44" s="143" customFormat="1" ht="20.25" customHeight="1" x14ac:dyDescent="0.25">
      <c r="A42" s="145" t="s">
        <v>139</v>
      </c>
      <c r="B42" s="149"/>
      <c r="C42" s="150"/>
      <c r="D42" s="150"/>
      <c r="E42" s="151"/>
      <c r="F42" s="151"/>
      <c r="G42" s="151"/>
      <c r="H42" s="151"/>
      <c r="I42" s="151"/>
      <c r="J42" s="151"/>
      <c r="K42" s="151"/>
      <c r="L42" s="147"/>
      <c r="M42" s="147"/>
      <c r="N42" s="202"/>
      <c r="O42" s="203"/>
      <c r="P42" s="147"/>
      <c r="Q42" s="147"/>
      <c r="R42" s="147"/>
      <c r="S42" s="147"/>
      <c r="T42" s="147"/>
      <c r="U42" s="147"/>
      <c r="V42" s="147"/>
      <c r="W42" s="147"/>
      <c r="X42" s="147"/>
      <c r="Y42" s="147"/>
      <c r="Z42" s="147"/>
      <c r="AA42" s="147"/>
      <c r="AB42" s="147"/>
      <c r="AC42" s="147"/>
      <c r="AD42" s="147"/>
      <c r="AE42" s="147"/>
      <c r="AF42" s="142"/>
      <c r="AK42" s="142"/>
      <c r="AL42" s="142"/>
      <c r="AM42" s="142"/>
      <c r="AN42" s="76"/>
      <c r="AO42" s="76"/>
      <c r="AP42" s="76"/>
      <c r="AQ42" s="76"/>
      <c r="AR42" s="252"/>
    </row>
    <row r="44" spans="1:44" x14ac:dyDescent="0.25">
      <c r="E44" s="115"/>
    </row>
    <row r="45" spans="1:44" x14ac:dyDescent="0.25">
      <c r="E45" s="115"/>
    </row>
    <row r="46" spans="1:44" x14ac:dyDescent="0.25">
      <c r="E46" s="115"/>
      <c r="Y46" s="99" t="s">
        <v>124</v>
      </c>
    </row>
    <row r="47" spans="1:44" x14ac:dyDescent="0.25">
      <c r="E47" s="115"/>
    </row>
    <row r="48" spans="1:44" x14ac:dyDescent="0.25">
      <c r="E48" s="115"/>
    </row>
    <row r="49" spans="5:5" x14ac:dyDescent="0.25">
      <c r="E49" s="115"/>
    </row>
    <row r="50" spans="5:5" x14ac:dyDescent="0.25">
      <c r="E50" s="115"/>
    </row>
    <row r="51" spans="5:5" x14ac:dyDescent="0.25">
      <c r="E51" s="115"/>
    </row>
    <row r="52" spans="5:5" x14ac:dyDescent="0.25">
      <c r="E52" s="115"/>
    </row>
    <row r="53" spans="5:5" x14ac:dyDescent="0.25">
      <c r="E53" s="115"/>
    </row>
    <row r="54" spans="5:5" x14ac:dyDescent="0.25">
      <c r="E54" s="115"/>
    </row>
    <row r="55" spans="5:5" x14ac:dyDescent="0.25">
      <c r="E55" s="115"/>
    </row>
    <row r="56" spans="5:5" x14ac:dyDescent="0.25">
      <c r="E56" s="115"/>
    </row>
    <row r="57" spans="5:5" x14ac:dyDescent="0.25">
      <c r="E57" s="115"/>
    </row>
    <row r="58" spans="5:5" x14ac:dyDescent="0.25">
      <c r="E58" s="115"/>
    </row>
    <row r="59" spans="5:5" x14ac:dyDescent="0.25">
      <c r="E59" s="115"/>
    </row>
    <row r="60" spans="5:5" x14ac:dyDescent="0.25">
      <c r="E60" s="115"/>
    </row>
    <row r="61" spans="5:5" x14ac:dyDescent="0.25">
      <c r="E61" s="115"/>
    </row>
    <row r="62" spans="5:5" x14ac:dyDescent="0.25">
      <c r="E62" s="115"/>
    </row>
    <row r="63" spans="5:5" x14ac:dyDescent="0.25">
      <c r="E63" s="115"/>
    </row>
    <row r="64" spans="5:5" x14ac:dyDescent="0.25">
      <c r="E64" s="115"/>
    </row>
    <row r="65" spans="5:5" x14ac:dyDescent="0.25">
      <c r="E65" s="115"/>
    </row>
    <row r="66" spans="5:5" x14ac:dyDescent="0.25">
      <c r="E66" s="115"/>
    </row>
    <row r="67" spans="5:5" x14ac:dyDescent="0.25">
      <c r="E67" s="115"/>
    </row>
    <row r="68" spans="5:5" x14ac:dyDescent="0.25">
      <c r="E68" s="115"/>
    </row>
  </sheetData>
  <autoFilter ref="A8:AS28"/>
  <mergeCells count="37">
    <mergeCell ref="G31:H31"/>
    <mergeCell ref="I31:J31"/>
    <mergeCell ref="K31:L31"/>
    <mergeCell ref="AA6:AC6"/>
    <mergeCell ref="J6:J7"/>
    <mergeCell ref="K6:K7"/>
    <mergeCell ref="AH6:AH7"/>
    <mergeCell ref="U9:U27"/>
    <mergeCell ref="A28:B28"/>
    <mergeCell ref="S6:S7"/>
    <mergeCell ref="T6:T7"/>
    <mergeCell ref="U6:U7"/>
    <mergeCell ref="V6:V7"/>
    <mergeCell ref="W6:W7"/>
    <mergeCell ref="X6:Z6"/>
    <mergeCell ref="L6:L7"/>
    <mergeCell ref="F6:F7"/>
    <mergeCell ref="G6:G7"/>
    <mergeCell ref="H6:H7"/>
    <mergeCell ref="I6:I7"/>
    <mergeCell ref="R6:R7"/>
    <mergeCell ref="AE1:AH1"/>
    <mergeCell ref="A2:AH2"/>
    <mergeCell ref="A3:AH3"/>
    <mergeCell ref="A5:A7"/>
    <mergeCell ref="B5:B7"/>
    <mergeCell ref="C5:C7"/>
    <mergeCell ref="D5:W5"/>
    <mergeCell ref="X5:AH5"/>
    <mergeCell ref="D6:D7"/>
    <mergeCell ref="E6:E7"/>
    <mergeCell ref="AG6:AG7"/>
    <mergeCell ref="M6:M7"/>
    <mergeCell ref="N6:O6"/>
    <mergeCell ref="P6:P7"/>
    <mergeCell ref="Q6:Q7"/>
    <mergeCell ref="AD6:AF6"/>
  </mergeCells>
  <printOptions horizontalCentered="1"/>
  <pageMargins left="0" right="0" top="0" bottom="0" header="0.31496062992125984" footer="0.31496062992125984"/>
  <pageSetup paperSize="9" scale="37"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S43"/>
  <sheetViews>
    <sheetView view="pageBreakPreview" zoomScale="80" zoomScaleSheetLayoutView="80" workbookViewId="0">
      <pane xSplit="3" ySplit="8" topLeftCell="L9"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2" x14ac:dyDescent="0.25"/>
  <cols>
    <col min="1" max="1" width="12.77734375" style="98" customWidth="1"/>
    <col min="2" max="2" width="30.77734375" style="99" customWidth="1"/>
    <col min="3" max="3" width="13.77734375" style="99" customWidth="1"/>
    <col min="4" max="4" width="11.44140625" style="99" customWidth="1"/>
    <col min="5" max="5" width="13" style="99" customWidth="1"/>
    <col min="6" max="6" width="14.6640625" style="99" customWidth="1"/>
    <col min="7" max="8" width="13.109375" style="99" customWidth="1"/>
    <col min="9" max="9" width="11.6640625" style="99" customWidth="1"/>
    <col min="10" max="10" width="16.77734375" style="99" customWidth="1"/>
    <col min="11" max="11" width="12" style="99" customWidth="1"/>
    <col min="12" max="17" width="11.44140625" style="100" customWidth="1"/>
    <col min="18" max="18" width="14.109375" style="99" customWidth="1"/>
    <col min="19" max="19" width="15.44140625" style="99" customWidth="1"/>
    <col min="20" max="20" width="12.33203125" style="99" customWidth="1"/>
    <col min="21" max="21" width="11.6640625" style="99" customWidth="1"/>
    <col min="22" max="23" width="12" style="99" customWidth="1"/>
    <col min="24" max="24" width="12.6640625" style="99" customWidth="1"/>
    <col min="25" max="25" width="12" style="99" customWidth="1"/>
    <col min="26" max="26" width="9.6640625" style="99" customWidth="1"/>
    <col min="27" max="31" width="8.44140625" style="99" customWidth="1"/>
    <col min="32" max="32" width="9.6640625" style="99" customWidth="1"/>
    <col min="33" max="33" width="9.33203125" style="99" customWidth="1"/>
    <col min="34" max="34" width="12" style="99" customWidth="1"/>
    <col min="35" max="36" width="11.109375" style="99" customWidth="1"/>
    <col min="37" max="37" width="12.6640625" style="99" customWidth="1"/>
    <col min="38" max="38" width="11.77734375" style="99" hidden="1" customWidth="1"/>
    <col min="39" max="39" width="13" style="99" hidden="1" customWidth="1"/>
    <col min="40" max="42" width="9.33203125" style="22"/>
    <col min="43" max="43" width="11.33203125" style="22" bestFit="1" customWidth="1"/>
    <col min="44" max="16384" width="9.33203125" style="99"/>
  </cols>
  <sheetData>
    <row r="1" spans="1:45" ht="21" customHeight="1" x14ac:dyDescent="0.25">
      <c r="AE1" s="1546"/>
      <c r="AF1" s="1546"/>
      <c r="AG1" s="1546"/>
      <c r="AH1" s="1546"/>
    </row>
    <row r="2" spans="1:45" ht="24" customHeight="1" x14ac:dyDescent="0.25">
      <c r="A2" s="1547" t="s">
        <v>142</v>
      </c>
      <c r="B2" s="1547"/>
      <c r="C2" s="1547"/>
      <c r="D2" s="1547"/>
      <c r="E2" s="1547"/>
      <c r="F2" s="1547"/>
      <c r="G2" s="1547"/>
      <c r="H2" s="1547"/>
      <c r="I2" s="1547"/>
      <c r="J2" s="1547"/>
      <c r="K2" s="1547"/>
      <c r="L2" s="1547"/>
      <c r="M2" s="1547"/>
      <c r="N2" s="1547"/>
      <c r="O2" s="1547"/>
      <c r="P2" s="1547"/>
      <c r="Q2" s="1547"/>
      <c r="R2" s="1547"/>
      <c r="S2" s="1547"/>
      <c r="T2" s="1547"/>
      <c r="U2" s="1547"/>
      <c r="V2" s="1547"/>
      <c r="W2" s="1547"/>
      <c r="X2" s="1547"/>
      <c r="Y2" s="1547"/>
      <c r="Z2" s="1547"/>
      <c r="AA2" s="1547"/>
      <c r="AB2" s="1547"/>
      <c r="AC2" s="1547"/>
      <c r="AD2" s="1547"/>
      <c r="AE2" s="1547"/>
      <c r="AF2" s="1547"/>
      <c r="AG2" s="1547"/>
      <c r="AH2" s="1547"/>
    </row>
    <row r="3" spans="1:45" ht="24.75" customHeight="1" x14ac:dyDescent="0.25">
      <c r="A3" s="1548"/>
      <c r="B3" s="1548"/>
      <c r="C3" s="1548"/>
      <c r="D3" s="1548"/>
      <c r="E3" s="1548"/>
      <c r="F3" s="1548"/>
      <c r="G3" s="1548"/>
      <c r="H3" s="1548"/>
      <c r="I3" s="1548"/>
      <c r="J3" s="1548"/>
      <c r="K3" s="1548"/>
      <c r="L3" s="1548"/>
      <c r="M3" s="1548"/>
      <c r="N3" s="1548"/>
      <c r="O3" s="1548"/>
      <c r="P3" s="1548"/>
      <c r="Q3" s="1548"/>
      <c r="R3" s="1548"/>
      <c r="S3" s="1548"/>
      <c r="T3" s="1548"/>
      <c r="U3" s="1548"/>
      <c r="V3" s="1548"/>
      <c r="W3" s="1548"/>
      <c r="X3" s="1548"/>
      <c r="Y3" s="1548"/>
      <c r="Z3" s="1548"/>
      <c r="AA3" s="1548"/>
      <c r="AB3" s="1548"/>
      <c r="AC3" s="1548"/>
      <c r="AD3" s="1548"/>
      <c r="AE3" s="1548"/>
      <c r="AF3" s="1548"/>
      <c r="AG3" s="1548"/>
      <c r="AH3" s="1548"/>
    </row>
    <row r="4" spans="1:45" x14ac:dyDescent="0.25">
      <c r="L4" s="102">
        <v>3.8399999999999997E-2</v>
      </c>
    </row>
    <row r="5" spans="1:45" ht="38.25" customHeight="1" x14ac:dyDescent="0.25">
      <c r="A5" s="1549" t="s">
        <v>78</v>
      </c>
      <c r="B5" s="1549" t="s">
        <v>77</v>
      </c>
      <c r="C5" s="1550" t="s">
        <v>0</v>
      </c>
      <c r="D5" s="1550" t="s">
        <v>3</v>
      </c>
      <c r="E5" s="1550"/>
      <c r="F5" s="1550"/>
      <c r="G5" s="1550"/>
      <c r="H5" s="1550"/>
      <c r="I5" s="1550"/>
      <c r="J5" s="1550"/>
      <c r="K5" s="1550"/>
      <c r="L5" s="1550"/>
      <c r="M5" s="1550"/>
      <c r="N5" s="1550"/>
      <c r="O5" s="1550"/>
      <c r="P5" s="1550"/>
      <c r="Q5" s="1550"/>
      <c r="R5" s="1550"/>
      <c r="S5" s="1550"/>
      <c r="T5" s="1550"/>
      <c r="U5" s="1550"/>
      <c r="V5" s="1550"/>
      <c r="W5" s="1550"/>
      <c r="X5" s="1550" t="s">
        <v>4</v>
      </c>
      <c r="Y5" s="1550"/>
      <c r="Z5" s="1550"/>
      <c r="AA5" s="1550"/>
      <c r="AB5" s="1550"/>
      <c r="AC5" s="1550"/>
      <c r="AD5" s="1550"/>
      <c r="AE5" s="1550"/>
      <c r="AF5" s="1550"/>
      <c r="AG5" s="1550"/>
      <c r="AH5" s="1550"/>
    </row>
    <row r="6" spans="1:45" ht="60" customHeight="1" x14ac:dyDescent="0.25">
      <c r="A6" s="1549"/>
      <c r="B6" s="1549"/>
      <c r="C6" s="1550"/>
      <c r="D6" s="1551" t="s">
        <v>79</v>
      </c>
      <c r="E6" s="1551" t="s">
        <v>69</v>
      </c>
      <c r="F6" s="1551" t="s">
        <v>89</v>
      </c>
      <c r="G6" s="1551" t="s">
        <v>1</v>
      </c>
      <c r="H6" s="1551" t="s">
        <v>2</v>
      </c>
      <c r="I6" s="1551" t="s">
        <v>70</v>
      </c>
      <c r="J6" s="1551" t="s">
        <v>61</v>
      </c>
      <c r="K6" s="1551" t="s">
        <v>27</v>
      </c>
      <c r="L6" s="1553" t="s">
        <v>65</v>
      </c>
      <c r="M6" s="1553" t="s">
        <v>86</v>
      </c>
      <c r="N6" s="1554" t="s">
        <v>91</v>
      </c>
      <c r="O6" s="1554"/>
      <c r="P6" s="1554" t="s">
        <v>88</v>
      </c>
      <c r="Q6" s="1553" t="s">
        <v>82</v>
      </c>
      <c r="R6" s="1551" t="s">
        <v>83</v>
      </c>
      <c r="S6" s="1553" t="s">
        <v>87</v>
      </c>
      <c r="T6" s="1551" t="s">
        <v>84</v>
      </c>
      <c r="U6" s="1551" t="s">
        <v>9</v>
      </c>
      <c r="V6" s="1551" t="s">
        <v>7</v>
      </c>
      <c r="W6" s="1551" t="s">
        <v>85</v>
      </c>
      <c r="X6" s="1550" t="s">
        <v>10</v>
      </c>
      <c r="Y6" s="1550"/>
      <c r="Z6" s="1550"/>
      <c r="AA6" s="1550" t="s">
        <v>11</v>
      </c>
      <c r="AB6" s="1550"/>
      <c r="AC6" s="1550"/>
      <c r="AD6" s="1550" t="s">
        <v>12</v>
      </c>
      <c r="AE6" s="1550"/>
      <c r="AF6" s="1550"/>
      <c r="AG6" s="1550" t="s">
        <v>13</v>
      </c>
      <c r="AH6" s="1550" t="s">
        <v>73</v>
      </c>
    </row>
    <row r="7" spans="1:45" ht="97.5" customHeight="1" x14ac:dyDescent="0.25">
      <c r="A7" s="1549"/>
      <c r="B7" s="1549"/>
      <c r="C7" s="1550"/>
      <c r="D7" s="1551"/>
      <c r="E7" s="1551"/>
      <c r="F7" s="1551"/>
      <c r="G7" s="1551"/>
      <c r="H7" s="1551"/>
      <c r="I7" s="1551"/>
      <c r="J7" s="1551"/>
      <c r="K7" s="1551"/>
      <c r="L7" s="1553" t="s">
        <v>66</v>
      </c>
      <c r="M7" s="1553"/>
      <c r="N7" s="104" t="s">
        <v>80</v>
      </c>
      <c r="O7" s="104" t="s">
        <v>81</v>
      </c>
      <c r="P7" s="1554"/>
      <c r="Q7" s="1553"/>
      <c r="R7" s="1551"/>
      <c r="S7" s="1553" t="s">
        <v>67</v>
      </c>
      <c r="T7" s="1551"/>
      <c r="U7" s="1551"/>
      <c r="V7" s="1551"/>
      <c r="W7" s="1551"/>
      <c r="X7" s="105" t="s">
        <v>5</v>
      </c>
      <c r="Y7" s="105" t="s">
        <v>6</v>
      </c>
      <c r="Z7" s="105" t="s">
        <v>74</v>
      </c>
      <c r="AA7" s="105" t="s">
        <v>5</v>
      </c>
      <c r="AB7" s="105" t="s">
        <v>6</v>
      </c>
      <c r="AC7" s="105" t="s">
        <v>75</v>
      </c>
      <c r="AD7" s="105" t="s">
        <v>5</v>
      </c>
      <c r="AE7" s="105" t="s">
        <v>6</v>
      </c>
      <c r="AF7" s="105" t="s">
        <v>76</v>
      </c>
      <c r="AG7" s="1550"/>
      <c r="AH7" s="1550"/>
      <c r="AK7" s="98" t="s">
        <v>64</v>
      </c>
      <c r="AL7" s="98" t="s">
        <v>62</v>
      </c>
      <c r="AM7" s="98" t="s">
        <v>63</v>
      </c>
    </row>
    <row r="8" spans="1:45" x14ac:dyDescent="0.25">
      <c r="A8" s="94">
        <v>1</v>
      </c>
      <c r="B8" s="94">
        <v>2</v>
      </c>
      <c r="C8" s="94">
        <v>3</v>
      </c>
      <c r="D8" s="94">
        <v>4</v>
      </c>
      <c r="E8" s="94">
        <v>5</v>
      </c>
      <c r="F8" s="94">
        <v>6</v>
      </c>
      <c r="G8" s="94">
        <v>7</v>
      </c>
      <c r="H8" s="94">
        <v>8</v>
      </c>
      <c r="I8" s="94">
        <v>9</v>
      </c>
      <c r="J8" s="94">
        <v>10</v>
      </c>
      <c r="K8" s="94">
        <v>11</v>
      </c>
      <c r="L8" s="94">
        <v>12</v>
      </c>
      <c r="M8" s="94">
        <v>13</v>
      </c>
      <c r="N8" s="94">
        <v>14</v>
      </c>
      <c r="O8" s="94">
        <v>15</v>
      </c>
      <c r="P8" s="94">
        <v>16</v>
      </c>
      <c r="Q8" s="94">
        <v>17</v>
      </c>
      <c r="R8" s="94">
        <v>18</v>
      </c>
      <c r="S8" s="94">
        <v>19</v>
      </c>
      <c r="T8" s="94">
        <v>20</v>
      </c>
      <c r="U8" s="94">
        <v>21</v>
      </c>
      <c r="V8" s="94">
        <v>22</v>
      </c>
      <c r="W8" s="94">
        <v>23</v>
      </c>
      <c r="X8" s="94">
        <v>24</v>
      </c>
      <c r="Y8" s="94">
        <v>25</v>
      </c>
      <c r="Z8" s="94">
        <v>26</v>
      </c>
      <c r="AA8" s="94">
        <v>27</v>
      </c>
      <c r="AB8" s="94">
        <v>28</v>
      </c>
      <c r="AC8" s="94">
        <v>29</v>
      </c>
      <c r="AD8" s="94">
        <v>30</v>
      </c>
      <c r="AE8" s="94">
        <v>31</v>
      </c>
      <c r="AF8" s="94">
        <v>32</v>
      </c>
      <c r="AG8" s="94">
        <v>33</v>
      </c>
      <c r="AH8" s="94">
        <v>34</v>
      </c>
      <c r="AN8" s="43" t="s">
        <v>116</v>
      </c>
      <c r="AO8" s="43" t="s">
        <v>117</v>
      </c>
      <c r="AP8" s="43" t="s">
        <v>118</v>
      </c>
      <c r="AQ8" s="43" t="s">
        <v>119</v>
      </c>
    </row>
    <row r="9" spans="1:45" ht="16.5" customHeight="1" x14ac:dyDescent="0.25">
      <c r="A9" s="94">
        <v>1</v>
      </c>
      <c r="B9" s="106" t="s">
        <v>21</v>
      </c>
      <c r="C9" s="94">
        <v>1</v>
      </c>
      <c r="D9" s="107">
        <v>22.465</v>
      </c>
      <c r="E9" s="108">
        <f t="shared" ref="E9:E20" si="0">C9*D9</f>
        <v>22.47</v>
      </c>
      <c r="F9" s="109">
        <f t="shared" ref="F9:F19" si="1">E9*12</f>
        <v>269.60000000000002</v>
      </c>
      <c r="G9" s="110"/>
      <c r="H9" s="110"/>
      <c r="I9" s="110"/>
      <c r="J9" s="110"/>
      <c r="K9" s="95">
        <f>D9*0.2*5+D9*0.25*7</f>
        <v>61.8</v>
      </c>
      <c r="L9" s="95">
        <f>$L$4*F9</f>
        <v>10.4</v>
      </c>
      <c r="M9" s="95">
        <f t="shared" ref="M9:M19" si="2">F9+G9+H9+I9+J9+K9+L9</f>
        <v>341.8</v>
      </c>
      <c r="N9" s="111">
        <v>0.47</v>
      </c>
      <c r="O9" s="95">
        <f t="shared" ref="O9:O19" si="3">M9*N9</f>
        <v>160.6</v>
      </c>
      <c r="P9" s="95">
        <f t="shared" ref="P9:P19" si="4">M9+O9</f>
        <v>502.4</v>
      </c>
      <c r="Q9" s="95">
        <f t="shared" ref="Q9:Q19" si="5">P9*0.8</f>
        <v>401.9</v>
      </c>
      <c r="R9" s="95">
        <f t="shared" ref="R9:R19" si="6">P9*0.8</f>
        <v>401.9</v>
      </c>
      <c r="S9" s="95">
        <f t="shared" ref="S9:S19" si="7">(P9+Q9+R9)*0.032</f>
        <v>41.8</v>
      </c>
      <c r="T9" s="95">
        <f>P9+Q9+R9+S9</f>
        <v>1348</v>
      </c>
      <c r="U9" s="1555">
        <v>1</v>
      </c>
      <c r="V9" s="95">
        <f>T9*$U$9</f>
        <v>1348</v>
      </c>
      <c r="W9" s="95">
        <f>AQ9</f>
        <v>369.3</v>
      </c>
      <c r="X9" s="94">
        <v>1</v>
      </c>
      <c r="Y9" s="112">
        <v>30</v>
      </c>
      <c r="Z9" s="113">
        <f t="shared" ref="Z9:Z20" si="8">X9*Y9</f>
        <v>30</v>
      </c>
      <c r="AA9" s="94"/>
      <c r="AB9" s="112">
        <v>15</v>
      </c>
      <c r="AC9" s="113">
        <f t="shared" ref="AC9:AC20" si="9">AA9*AB9</f>
        <v>0</v>
      </c>
      <c r="AD9" s="94"/>
      <c r="AE9" s="112">
        <v>30</v>
      </c>
      <c r="AF9" s="113">
        <f>AD9*AE9</f>
        <v>0</v>
      </c>
      <c r="AG9" s="113">
        <f>(Z9+AC9+AF9)*1%*30</f>
        <v>9</v>
      </c>
      <c r="AH9" s="113">
        <f>Z9+AC9+AF9+AG9</f>
        <v>39</v>
      </c>
      <c r="AI9" s="114">
        <f t="shared" ref="AI9:AI19" si="10">V9/12/C9*1000</f>
        <v>112333.3</v>
      </c>
      <c r="AJ9" s="114"/>
      <c r="AK9" s="114">
        <f t="shared" ref="AK9:AK20" si="11">V9/C9</f>
        <v>1348</v>
      </c>
      <c r="AL9" s="114">
        <f>((979*0.302)+((AK9-979)*0.182))</f>
        <v>362.8</v>
      </c>
      <c r="AM9" s="115">
        <f>AL9/AK9</f>
        <v>0.26900000000000002</v>
      </c>
      <c r="AN9" s="50">
        <f>1150*0.22*C9+(V9-1150*C9)*0.1</f>
        <v>272.8</v>
      </c>
      <c r="AO9" s="116">
        <f>865*0.029</f>
        <v>25.1</v>
      </c>
      <c r="AP9" s="116">
        <f>AK9*0.053</f>
        <v>71.400000000000006</v>
      </c>
      <c r="AQ9" s="50">
        <f>SUM(AN9:AP9)</f>
        <v>369.3</v>
      </c>
      <c r="AS9" s="115"/>
    </row>
    <row r="10" spans="1:45" ht="13.8" x14ac:dyDescent="0.25">
      <c r="A10" s="94">
        <v>2</v>
      </c>
      <c r="B10" s="106" t="s">
        <v>125</v>
      </c>
      <c r="C10" s="94">
        <v>1</v>
      </c>
      <c r="D10" s="107">
        <v>17.972000000000001</v>
      </c>
      <c r="E10" s="108">
        <f t="shared" si="0"/>
        <v>17.97</v>
      </c>
      <c r="F10" s="109">
        <f t="shared" si="1"/>
        <v>215.6</v>
      </c>
      <c r="G10" s="110"/>
      <c r="H10" s="110"/>
      <c r="I10" s="110"/>
      <c r="J10" s="110"/>
      <c r="K10" s="95">
        <f>F10*0.3</f>
        <v>64.7</v>
      </c>
      <c r="L10" s="95">
        <f t="shared" ref="L10:L20" si="12">$L$4*F10</f>
        <v>8.3000000000000007</v>
      </c>
      <c r="M10" s="95">
        <f t="shared" si="2"/>
        <v>288.60000000000002</v>
      </c>
      <c r="N10" s="111">
        <v>0.47</v>
      </c>
      <c r="O10" s="95">
        <f t="shared" si="3"/>
        <v>135.6</v>
      </c>
      <c r="P10" s="95">
        <f t="shared" si="4"/>
        <v>424.2</v>
      </c>
      <c r="Q10" s="95">
        <f t="shared" si="5"/>
        <v>339.4</v>
      </c>
      <c r="R10" s="95">
        <f t="shared" si="6"/>
        <v>339.4</v>
      </c>
      <c r="S10" s="95">
        <f t="shared" si="7"/>
        <v>35.299999999999997</v>
      </c>
      <c r="T10" s="95">
        <f t="shared" ref="T10:T19" si="13">P10+Q10+R10+S10</f>
        <v>1138.3</v>
      </c>
      <c r="U10" s="1556"/>
      <c r="V10" s="95">
        <f>T10*$U$9</f>
        <v>1138.3</v>
      </c>
      <c r="W10" s="95">
        <f>AQ10</f>
        <v>337.2</v>
      </c>
      <c r="X10" s="94"/>
      <c r="Y10" s="112">
        <v>30</v>
      </c>
      <c r="Z10" s="113">
        <f t="shared" si="8"/>
        <v>0</v>
      </c>
      <c r="AA10" s="94"/>
      <c r="AB10" s="112">
        <v>15</v>
      </c>
      <c r="AC10" s="113">
        <f t="shared" si="9"/>
        <v>0</v>
      </c>
      <c r="AD10" s="94"/>
      <c r="AE10" s="112">
        <v>30</v>
      </c>
      <c r="AF10" s="113">
        <f t="shared" ref="AF10:AF20" si="14">AD10*AE10</f>
        <v>0</v>
      </c>
      <c r="AG10" s="113">
        <f t="shared" ref="AG10:AG20" si="15">(Z10+AC10+AF10)*1%*30</f>
        <v>0</v>
      </c>
      <c r="AH10" s="113">
        <f t="shared" ref="AH10:AH20" si="16">Z10+AC10+AF10+AG10</f>
        <v>0</v>
      </c>
      <c r="AI10" s="114">
        <f t="shared" si="10"/>
        <v>94858.3</v>
      </c>
      <c r="AJ10" s="114"/>
      <c r="AK10" s="114">
        <f t="shared" si="11"/>
        <v>1138.3</v>
      </c>
      <c r="AL10" s="114">
        <f t="shared" ref="AL10:AL20" si="17">((979*0.302)+((AK10-979)*0.182))</f>
        <v>324.7</v>
      </c>
      <c r="AM10" s="115">
        <f>AL10/AK10</f>
        <v>0.28499999999999998</v>
      </c>
      <c r="AN10" s="50">
        <f>1150*0.22*C10+(V10-1150*C10)*0.1</f>
        <v>251.8</v>
      </c>
      <c r="AO10" s="116">
        <f>865*0.029</f>
        <v>25.1</v>
      </c>
      <c r="AP10" s="116">
        <f>AK10*0.053</f>
        <v>60.3</v>
      </c>
      <c r="AQ10" s="50">
        <f>SUM(AN10:AP10)</f>
        <v>337.2</v>
      </c>
      <c r="AS10" s="115"/>
    </row>
    <row r="11" spans="1:45" ht="13.8" x14ac:dyDescent="0.25">
      <c r="A11" s="94">
        <v>3</v>
      </c>
      <c r="B11" s="117" t="s">
        <v>29</v>
      </c>
      <c r="C11" s="118">
        <v>1</v>
      </c>
      <c r="D11" s="107">
        <v>8.4730000000000008</v>
      </c>
      <c r="E11" s="119">
        <f t="shared" si="0"/>
        <v>8.4700000000000006</v>
      </c>
      <c r="F11" s="110">
        <f t="shared" si="1"/>
        <v>101.6</v>
      </c>
      <c r="G11" s="110"/>
      <c r="H11" s="110"/>
      <c r="I11" s="110"/>
      <c r="J11" s="110"/>
      <c r="K11" s="95"/>
      <c r="L11" s="95">
        <f t="shared" si="12"/>
        <v>3.9</v>
      </c>
      <c r="M11" s="95">
        <f t="shared" si="2"/>
        <v>105.5</v>
      </c>
      <c r="N11" s="111">
        <v>0.41</v>
      </c>
      <c r="O11" s="95">
        <f t="shared" si="3"/>
        <v>43.3</v>
      </c>
      <c r="P11" s="95">
        <f t="shared" si="4"/>
        <v>148.80000000000001</v>
      </c>
      <c r="Q11" s="95">
        <f t="shared" si="5"/>
        <v>119</v>
      </c>
      <c r="R11" s="95">
        <f t="shared" si="6"/>
        <v>119</v>
      </c>
      <c r="S11" s="95">
        <f t="shared" si="7"/>
        <v>12.4</v>
      </c>
      <c r="T11" s="95">
        <f t="shared" si="13"/>
        <v>399.2</v>
      </c>
      <c r="U11" s="1556"/>
      <c r="V11" s="95">
        <f t="shared" ref="V11:V19" si="18">T11*$U$9</f>
        <v>399.2</v>
      </c>
      <c r="W11" s="95">
        <f t="shared" ref="W11:W20" si="19">V11*0.302</f>
        <v>120.6</v>
      </c>
      <c r="X11" s="120"/>
      <c r="Y11" s="112">
        <v>30</v>
      </c>
      <c r="Z11" s="113">
        <f t="shared" si="8"/>
        <v>0</v>
      </c>
      <c r="AA11" s="120"/>
      <c r="AB11" s="112">
        <v>15</v>
      </c>
      <c r="AC11" s="113">
        <f t="shared" si="9"/>
        <v>0</v>
      </c>
      <c r="AD11" s="120"/>
      <c r="AE11" s="112">
        <v>30</v>
      </c>
      <c r="AF11" s="113">
        <f t="shared" si="14"/>
        <v>0</v>
      </c>
      <c r="AG11" s="113">
        <f t="shared" si="15"/>
        <v>0</v>
      </c>
      <c r="AH11" s="113">
        <f t="shared" si="16"/>
        <v>0</v>
      </c>
      <c r="AI11" s="114">
        <f t="shared" si="10"/>
        <v>33266.699999999997</v>
      </c>
      <c r="AJ11" s="114"/>
      <c r="AK11" s="114">
        <f t="shared" si="11"/>
        <v>399.2</v>
      </c>
      <c r="AL11" s="114">
        <f t="shared" si="17"/>
        <v>190.1</v>
      </c>
      <c r="AM11" s="115">
        <v>0.30199999999999999</v>
      </c>
      <c r="AN11" s="116"/>
      <c r="AO11" s="116"/>
      <c r="AP11" s="116"/>
      <c r="AQ11" s="116"/>
      <c r="AS11" s="115"/>
    </row>
    <row r="12" spans="1:45" s="126" customFormat="1" ht="13.8" x14ac:dyDescent="0.25">
      <c r="A12" s="94">
        <v>4</v>
      </c>
      <c r="B12" s="121" t="s">
        <v>31</v>
      </c>
      <c r="C12" s="122">
        <v>1</v>
      </c>
      <c r="D12" s="107">
        <v>11.061999999999999</v>
      </c>
      <c r="E12" s="123">
        <f t="shared" si="0"/>
        <v>11.06</v>
      </c>
      <c r="F12" s="124">
        <f t="shared" si="1"/>
        <v>132.69999999999999</v>
      </c>
      <c r="G12" s="124"/>
      <c r="H12" s="124"/>
      <c r="I12" s="124"/>
      <c r="J12" s="125"/>
      <c r="K12" s="96"/>
      <c r="L12" s="95">
        <f t="shared" si="12"/>
        <v>5.0999999999999996</v>
      </c>
      <c r="M12" s="96">
        <f t="shared" si="2"/>
        <v>137.80000000000001</v>
      </c>
      <c r="N12" s="111">
        <v>0.47</v>
      </c>
      <c r="O12" s="96">
        <f t="shared" si="3"/>
        <v>64.8</v>
      </c>
      <c r="P12" s="96">
        <f t="shared" si="4"/>
        <v>202.6</v>
      </c>
      <c r="Q12" s="96">
        <f t="shared" si="5"/>
        <v>162.1</v>
      </c>
      <c r="R12" s="96">
        <f t="shared" si="6"/>
        <v>162.1</v>
      </c>
      <c r="S12" s="96">
        <f t="shared" si="7"/>
        <v>16.899999999999999</v>
      </c>
      <c r="T12" s="96">
        <f t="shared" si="13"/>
        <v>543.70000000000005</v>
      </c>
      <c r="U12" s="1556"/>
      <c r="V12" s="96">
        <f t="shared" si="18"/>
        <v>543.70000000000005</v>
      </c>
      <c r="W12" s="95">
        <f t="shared" si="19"/>
        <v>164.2</v>
      </c>
      <c r="X12" s="122">
        <v>1</v>
      </c>
      <c r="Y12" s="112">
        <v>30</v>
      </c>
      <c r="Z12" s="113">
        <f t="shared" si="8"/>
        <v>30</v>
      </c>
      <c r="AA12" s="122"/>
      <c r="AB12" s="112">
        <v>15</v>
      </c>
      <c r="AC12" s="113">
        <f t="shared" si="9"/>
        <v>0</v>
      </c>
      <c r="AD12" s="122"/>
      <c r="AE12" s="112">
        <v>30</v>
      </c>
      <c r="AF12" s="113">
        <f t="shared" si="14"/>
        <v>0</v>
      </c>
      <c r="AG12" s="113">
        <f t="shared" si="15"/>
        <v>9</v>
      </c>
      <c r="AH12" s="113">
        <f t="shared" si="16"/>
        <v>39</v>
      </c>
      <c r="AI12" s="114">
        <f t="shared" si="10"/>
        <v>45308.3</v>
      </c>
      <c r="AJ12" s="114"/>
      <c r="AK12" s="114">
        <f t="shared" si="11"/>
        <v>543.70000000000005</v>
      </c>
      <c r="AL12" s="114">
        <f t="shared" si="17"/>
        <v>216.4</v>
      </c>
      <c r="AM12" s="115">
        <v>0.30199999999999999</v>
      </c>
      <c r="AN12" s="22"/>
      <c r="AO12" s="116"/>
      <c r="AP12" s="116"/>
      <c r="AQ12" s="116"/>
      <c r="AS12" s="115"/>
    </row>
    <row r="13" spans="1:45" ht="26.4" x14ac:dyDescent="0.25">
      <c r="A13" s="94">
        <v>5</v>
      </c>
      <c r="B13" s="117" t="s">
        <v>108</v>
      </c>
      <c r="C13" s="127">
        <v>2</v>
      </c>
      <c r="D13" s="107">
        <v>8.4730000000000008</v>
      </c>
      <c r="E13" s="119">
        <f t="shared" si="0"/>
        <v>16.95</v>
      </c>
      <c r="F13" s="110">
        <f t="shared" si="1"/>
        <v>203.4</v>
      </c>
      <c r="G13" s="110"/>
      <c r="H13" s="110"/>
      <c r="I13" s="110"/>
      <c r="J13" s="110"/>
      <c r="K13" s="95">
        <f>F13*0.25</f>
        <v>50.9</v>
      </c>
      <c r="L13" s="95">
        <f t="shared" si="12"/>
        <v>7.8</v>
      </c>
      <c r="M13" s="95">
        <f t="shared" si="2"/>
        <v>262.10000000000002</v>
      </c>
      <c r="N13" s="111">
        <v>0.47</v>
      </c>
      <c r="O13" s="95">
        <f t="shared" si="3"/>
        <v>123.2</v>
      </c>
      <c r="P13" s="95">
        <f t="shared" si="4"/>
        <v>385.3</v>
      </c>
      <c r="Q13" s="95">
        <f t="shared" si="5"/>
        <v>308.2</v>
      </c>
      <c r="R13" s="95">
        <f t="shared" si="6"/>
        <v>308.2</v>
      </c>
      <c r="S13" s="95">
        <f t="shared" si="7"/>
        <v>32.1</v>
      </c>
      <c r="T13" s="95">
        <f t="shared" si="13"/>
        <v>1033.8</v>
      </c>
      <c r="U13" s="1556"/>
      <c r="V13" s="95">
        <f>T13*$U$9</f>
        <v>1033.8</v>
      </c>
      <c r="W13" s="95">
        <f t="shared" si="19"/>
        <v>312.2</v>
      </c>
      <c r="X13" s="94">
        <v>1</v>
      </c>
      <c r="Y13" s="112">
        <v>30</v>
      </c>
      <c r="Z13" s="113">
        <f t="shared" si="8"/>
        <v>30</v>
      </c>
      <c r="AA13" s="127">
        <v>1</v>
      </c>
      <c r="AB13" s="112">
        <v>15</v>
      </c>
      <c r="AC13" s="113">
        <f t="shared" si="9"/>
        <v>15</v>
      </c>
      <c r="AD13" s="127"/>
      <c r="AE13" s="112">
        <v>30</v>
      </c>
      <c r="AF13" s="113">
        <f t="shared" si="14"/>
        <v>0</v>
      </c>
      <c r="AG13" s="113">
        <f t="shared" si="15"/>
        <v>13.5</v>
      </c>
      <c r="AH13" s="113">
        <f t="shared" si="16"/>
        <v>58.5</v>
      </c>
      <c r="AI13" s="114">
        <f t="shared" si="10"/>
        <v>43075</v>
      </c>
      <c r="AJ13" s="114"/>
      <c r="AK13" s="114">
        <f t="shared" si="11"/>
        <v>516.9</v>
      </c>
      <c r="AL13" s="114">
        <f t="shared" si="17"/>
        <v>211.6</v>
      </c>
      <c r="AM13" s="115">
        <v>0.30199999999999999</v>
      </c>
      <c r="AQ13" s="116"/>
      <c r="AS13" s="115"/>
    </row>
    <row r="14" spans="1:45" ht="13.8" x14ac:dyDescent="0.25">
      <c r="A14" s="94">
        <v>6</v>
      </c>
      <c r="B14" s="117" t="s">
        <v>32</v>
      </c>
      <c r="C14" s="128">
        <v>1</v>
      </c>
      <c r="D14" s="107">
        <v>11.061999999999999</v>
      </c>
      <c r="E14" s="119">
        <f t="shared" si="0"/>
        <v>11.06</v>
      </c>
      <c r="F14" s="110">
        <f t="shared" si="1"/>
        <v>132.69999999999999</v>
      </c>
      <c r="G14" s="110"/>
      <c r="H14" s="110"/>
      <c r="I14" s="110"/>
      <c r="J14" s="110"/>
      <c r="K14" s="95"/>
      <c r="L14" s="95">
        <f t="shared" si="12"/>
        <v>5.0999999999999996</v>
      </c>
      <c r="M14" s="95">
        <f t="shared" si="2"/>
        <v>137.80000000000001</v>
      </c>
      <c r="N14" s="111">
        <v>0.43</v>
      </c>
      <c r="O14" s="95">
        <f t="shared" si="3"/>
        <v>59.3</v>
      </c>
      <c r="P14" s="95">
        <f t="shared" si="4"/>
        <v>197.1</v>
      </c>
      <c r="Q14" s="95">
        <f t="shared" si="5"/>
        <v>157.69999999999999</v>
      </c>
      <c r="R14" s="95">
        <f t="shared" si="6"/>
        <v>157.69999999999999</v>
      </c>
      <c r="S14" s="95">
        <f t="shared" si="7"/>
        <v>16.399999999999999</v>
      </c>
      <c r="T14" s="95">
        <f t="shared" si="13"/>
        <v>528.9</v>
      </c>
      <c r="U14" s="1556"/>
      <c r="V14" s="95">
        <f t="shared" si="18"/>
        <v>528.9</v>
      </c>
      <c r="W14" s="95">
        <f t="shared" si="19"/>
        <v>159.69999999999999</v>
      </c>
      <c r="X14" s="94">
        <v>1</v>
      </c>
      <c r="Y14" s="112">
        <v>30</v>
      </c>
      <c r="Z14" s="113">
        <f t="shared" si="8"/>
        <v>30</v>
      </c>
      <c r="AA14" s="127"/>
      <c r="AB14" s="112">
        <v>15</v>
      </c>
      <c r="AC14" s="113">
        <f t="shared" si="9"/>
        <v>0</v>
      </c>
      <c r="AD14" s="127"/>
      <c r="AE14" s="112">
        <v>30</v>
      </c>
      <c r="AF14" s="113">
        <f t="shared" si="14"/>
        <v>0</v>
      </c>
      <c r="AG14" s="113">
        <f t="shared" si="15"/>
        <v>9</v>
      </c>
      <c r="AH14" s="113">
        <f t="shared" si="16"/>
        <v>39</v>
      </c>
      <c r="AI14" s="114">
        <f t="shared" si="10"/>
        <v>44075</v>
      </c>
      <c r="AJ14" s="114"/>
      <c r="AK14" s="114">
        <f t="shared" si="11"/>
        <v>528.9</v>
      </c>
      <c r="AL14" s="114">
        <f t="shared" si="17"/>
        <v>213.7</v>
      </c>
      <c r="AM14" s="115">
        <v>0.30199999999999999</v>
      </c>
      <c r="AO14" s="116"/>
      <c r="AP14" s="116"/>
      <c r="AQ14" s="116"/>
      <c r="AS14" s="115"/>
    </row>
    <row r="15" spans="1:45" x14ac:dyDescent="0.25">
      <c r="A15" s="94">
        <v>7</v>
      </c>
      <c r="B15" s="129" t="s">
        <v>23</v>
      </c>
      <c r="C15" s="128">
        <v>1</v>
      </c>
      <c r="D15" s="107">
        <v>11.061999999999999</v>
      </c>
      <c r="E15" s="119">
        <f t="shared" si="0"/>
        <v>11.06</v>
      </c>
      <c r="F15" s="110">
        <f t="shared" si="1"/>
        <v>132.69999999999999</v>
      </c>
      <c r="G15" s="110"/>
      <c r="H15" s="110"/>
      <c r="I15" s="110"/>
      <c r="J15" s="110"/>
      <c r="K15" s="95">
        <f>D15*0.3*9+D15*0.35*3</f>
        <v>41.5</v>
      </c>
      <c r="L15" s="95">
        <f t="shared" si="12"/>
        <v>5.0999999999999996</v>
      </c>
      <c r="M15" s="95">
        <f t="shared" si="2"/>
        <v>179.3</v>
      </c>
      <c r="N15" s="111">
        <v>0.43</v>
      </c>
      <c r="O15" s="95">
        <f t="shared" si="3"/>
        <v>77.099999999999994</v>
      </c>
      <c r="P15" s="95">
        <f t="shared" si="4"/>
        <v>256.39999999999998</v>
      </c>
      <c r="Q15" s="95">
        <f t="shared" si="5"/>
        <v>205.1</v>
      </c>
      <c r="R15" s="95">
        <f t="shared" si="6"/>
        <v>205.1</v>
      </c>
      <c r="S15" s="95">
        <f t="shared" si="7"/>
        <v>21.3</v>
      </c>
      <c r="T15" s="95">
        <f t="shared" si="13"/>
        <v>687.9</v>
      </c>
      <c r="U15" s="1556"/>
      <c r="V15" s="95">
        <f t="shared" si="18"/>
        <v>687.9</v>
      </c>
      <c r="W15" s="95">
        <f t="shared" si="19"/>
        <v>207.7</v>
      </c>
      <c r="X15" s="118"/>
      <c r="Y15" s="112">
        <v>30</v>
      </c>
      <c r="Z15" s="113">
        <f t="shared" si="8"/>
        <v>0</v>
      </c>
      <c r="AA15" s="118"/>
      <c r="AB15" s="112">
        <v>15</v>
      </c>
      <c r="AC15" s="113">
        <f t="shared" si="9"/>
        <v>0</v>
      </c>
      <c r="AD15" s="118"/>
      <c r="AE15" s="112">
        <v>30</v>
      </c>
      <c r="AF15" s="113">
        <f t="shared" si="14"/>
        <v>0</v>
      </c>
      <c r="AG15" s="113">
        <f t="shared" si="15"/>
        <v>0</v>
      </c>
      <c r="AH15" s="113">
        <f t="shared" si="16"/>
        <v>0</v>
      </c>
      <c r="AI15" s="114">
        <f t="shared" si="10"/>
        <v>57325</v>
      </c>
      <c r="AJ15" s="114"/>
      <c r="AK15" s="114">
        <f t="shared" si="11"/>
        <v>687.9</v>
      </c>
      <c r="AL15" s="114">
        <f t="shared" si="17"/>
        <v>242.7</v>
      </c>
      <c r="AM15" s="115">
        <v>0.30199999999999999</v>
      </c>
      <c r="AS15" s="115"/>
    </row>
    <row r="16" spans="1:45" ht="13.8" x14ac:dyDescent="0.25">
      <c r="A16" s="94">
        <v>8</v>
      </c>
      <c r="B16" s="129" t="s">
        <v>33</v>
      </c>
      <c r="C16" s="128">
        <v>2</v>
      </c>
      <c r="D16" s="107">
        <v>8.4730000000000008</v>
      </c>
      <c r="E16" s="119">
        <f t="shared" si="0"/>
        <v>16.95</v>
      </c>
      <c r="F16" s="110">
        <f t="shared" si="1"/>
        <v>203.4</v>
      </c>
      <c r="G16" s="124">
        <f>29314.2/1000</f>
        <v>29.3</v>
      </c>
      <c r="H16" s="110">
        <f>9637.5/1000</f>
        <v>9.6</v>
      </c>
      <c r="I16" s="110"/>
      <c r="J16" s="110"/>
      <c r="K16" s="95">
        <f>D16*0.25*10+D16*0.3*2+F16*0.35</f>
        <v>97.5</v>
      </c>
      <c r="L16" s="95">
        <f t="shared" si="12"/>
        <v>7.8</v>
      </c>
      <c r="M16" s="95">
        <f t="shared" si="2"/>
        <v>347.6</v>
      </c>
      <c r="N16" s="111">
        <v>0.41</v>
      </c>
      <c r="O16" s="95">
        <f t="shared" si="3"/>
        <v>142.5</v>
      </c>
      <c r="P16" s="95">
        <f t="shared" si="4"/>
        <v>490.1</v>
      </c>
      <c r="Q16" s="95">
        <f t="shared" si="5"/>
        <v>392.1</v>
      </c>
      <c r="R16" s="95">
        <f t="shared" si="6"/>
        <v>392.1</v>
      </c>
      <c r="S16" s="95">
        <f t="shared" si="7"/>
        <v>40.799999999999997</v>
      </c>
      <c r="T16" s="95">
        <f t="shared" si="13"/>
        <v>1315.1</v>
      </c>
      <c r="U16" s="1556"/>
      <c r="V16" s="95">
        <f t="shared" si="18"/>
        <v>1315.1</v>
      </c>
      <c r="W16" s="95">
        <f t="shared" si="19"/>
        <v>397.2</v>
      </c>
      <c r="X16" s="118">
        <v>1</v>
      </c>
      <c r="Y16" s="112">
        <v>30</v>
      </c>
      <c r="Z16" s="113">
        <f t="shared" si="8"/>
        <v>30</v>
      </c>
      <c r="AA16" s="118"/>
      <c r="AB16" s="112">
        <v>15</v>
      </c>
      <c r="AC16" s="113">
        <f t="shared" si="9"/>
        <v>0</v>
      </c>
      <c r="AD16" s="118"/>
      <c r="AE16" s="112">
        <v>30</v>
      </c>
      <c r="AF16" s="113">
        <f t="shared" si="14"/>
        <v>0</v>
      </c>
      <c r="AG16" s="113">
        <f t="shared" si="15"/>
        <v>9</v>
      </c>
      <c r="AH16" s="113">
        <f t="shared" si="16"/>
        <v>39</v>
      </c>
      <c r="AI16" s="114">
        <f t="shared" si="10"/>
        <v>54795.8</v>
      </c>
      <c r="AJ16" s="114"/>
      <c r="AK16" s="114">
        <f t="shared" si="11"/>
        <v>657.6</v>
      </c>
      <c r="AL16" s="114">
        <f t="shared" si="17"/>
        <v>237.2</v>
      </c>
      <c r="AM16" s="115">
        <v>0.30199999999999999</v>
      </c>
      <c r="AO16" s="116"/>
      <c r="AP16" s="116"/>
      <c r="AQ16" s="116"/>
      <c r="AS16" s="115"/>
    </row>
    <row r="17" spans="1:45" ht="52.8" x14ac:dyDescent="0.25">
      <c r="A17" s="94">
        <v>9</v>
      </c>
      <c r="B17" s="117" t="s">
        <v>103</v>
      </c>
      <c r="C17" s="128">
        <v>1</v>
      </c>
      <c r="D17" s="107">
        <v>4.4569999999999999</v>
      </c>
      <c r="E17" s="119">
        <f t="shared" si="0"/>
        <v>4.46</v>
      </c>
      <c r="F17" s="110">
        <f t="shared" si="1"/>
        <v>53.5</v>
      </c>
      <c r="G17" s="110"/>
      <c r="H17" s="110"/>
      <c r="I17" s="110"/>
      <c r="J17" s="110"/>
      <c r="K17" s="95"/>
      <c r="L17" s="95">
        <f t="shared" si="12"/>
        <v>2.1</v>
      </c>
      <c r="M17" s="95">
        <f t="shared" si="2"/>
        <v>55.6</v>
      </c>
      <c r="N17" s="111">
        <v>0.61</v>
      </c>
      <c r="O17" s="95">
        <f t="shared" si="3"/>
        <v>33.9</v>
      </c>
      <c r="P17" s="95">
        <f t="shared" si="4"/>
        <v>89.5</v>
      </c>
      <c r="Q17" s="95">
        <f t="shared" si="5"/>
        <v>71.599999999999994</v>
      </c>
      <c r="R17" s="95">
        <f t="shared" si="6"/>
        <v>71.599999999999994</v>
      </c>
      <c r="S17" s="95">
        <f t="shared" si="7"/>
        <v>7.4</v>
      </c>
      <c r="T17" s="95">
        <f t="shared" si="13"/>
        <v>240.1</v>
      </c>
      <c r="U17" s="1556"/>
      <c r="V17" s="95">
        <f>T17*$U$9</f>
        <v>240.1</v>
      </c>
      <c r="W17" s="95">
        <f t="shared" si="19"/>
        <v>72.5</v>
      </c>
      <c r="X17" s="118"/>
      <c r="Y17" s="112">
        <v>30</v>
      </c>
      <c r="Z17" s="113">
        <f t="shared" si="8"/>
        <v>0</v>
      </c>
      <c r="AA17" s="118"/>
      <c r="AB17" s="112">
        <v>15</v>
      </c>
      <c r="AC17" s="113">
        <f t="shared" si="9"/>
        <v>0</v>
      </c>
      <c r="AD17" s="118"/>
      <c r="AE17" s="112">
        <v>30</v>
      </c>
      <c r="AF17" s="113">
        <f t="shared" si="14"/>
        <v>0</v>
      </c>
      <c r="AG17" s="113">
        <f t="shared" si="15"/>
        <v>0</v>
      </c>
      <c r="AH17" s="113">
        <f t="shared" si="16"/>
        <v>0</v>
      </c>
      <c r="AI17" s="114">
        <f t="shared" si="10"/>
        <v>20008.3</v>
      </c>
      <c r="AJ17" s="114"/>
      <c r="AK17" s="114">
        <f t="shared" si="11"/>
        <v>240.1</v>
      </c>
      <c r="AL17" s="114">
        <f t="shared" si="17"/>
        <v>161.19999999999999</v>
      </c>
      <c r="AM17" s="115">
        <v>0.30199999999999999</v>
      </c>
      <c r="AN17" s="130"/>
      <c r="AO17" s="130"/>
      <c r="AP17" s="130"/>
      <c r="AS17" s="115"/>
    </row>
    <row r="18" spans="1:45" s="126" customFormat="1" ht="26.4" x14ac:dyDescent="0.25">
      <c r="A18" s="94">
        <v>10</v>
      </c>
      <c r="B18" s="129" t="s">
        <v>34</v>
      </c>
      <c r="C18" s="122">
        <v>3</v>
      </c>
      <c r="D18" s="107">
        <v>7.1950000000000003</v>
      </c>
      <c r="E18" s="123">
        <f t="shared" si="0"/>
        <v>21.59</v>
      </c>
      <c r="F18" s="124">
        <f t="shared" si="1"/>
        <v>259.10000000000002</v>
      </c>
      <c r="G18" s="124">
        <f>44329.4/1000</f>
        <v>44.3</v>
      </c>
      <c r="H18" s="124">
        <f>16367.8/1000</f>
        <v>16.399999999999999</v>
      </c>
      <c r="I18" s="124"/>
      <c r="J18" s="125"/>
      <c r="K18" s="96"/>
      <c r="L18" s="95">
        <f t="shared" si="12"/>
        <v>9.9</v>
      </c>
      <c r="M18" s="96">
        <f t="shared" si="2"/>
        <v>329.7</v>
      </c>
      <c r="N18" s="111">
        <v>0.41</v>
      </c>
      <c r="O18" s="96">
        <f t="shared" si="3"/>
        <v>135.19999999999999</v>
      </c>
      <c r="P18" s="96">
        <f t="shared" si="4"/>
        <v>464.9</v>
      </c>
      <c r="Q18" s="96">
        <f t="shared" si="5"/>
        <v>371.9</v>
      </c>
      <c r="R18" s="96">
        <f t="shared" si="6"/>
        <v>371.9</v>
      </c>
      <c r="S18" s="96">
        <f t="shared" si="7"/>
        <v>38.700000000000003</v>
      </c>
      <c r="T18" s="96">
        <f t="shared" si="13"/>
        <v>1247.4000000000001</v>
      </c>
      <c r="U18" s="1556"/>
      <c r="V18" s="96">
        <f t="shared" si="18"/>
        <v>1247.4000000000001</v>
      </c>
      <c r="W18" s="95">
        <f t="shared" si="19"/>
        <v>376.7</v>
      </c>
      <c r="X18" s="94">
        <v>1</v>
      </c>
      <c r="Y18" s="112">
        <v>30</v>
      </c>
      <c r="Z18" s="113">
        <f t="shared" si="8"/>
        <v>30</v>
      </c>
      <c r="AA18" s="94"/>
      <c r="AB18" s="112">
        <v>15</v>
      </c>
      <c r="AC18" s="113">
        <f t="shared" si="9"/>
        <v>0</v>
      </c>
      <c r="AD18" s="94"/>
      <c r="AE18" s="112">
        <v>30</v>
      </c>
      <c r="AF18" s="113">
        <f t="shared" si="14"/>
        <v>0</v>
      </c>
      <c r="AG18" s="113">
        <f t="shared" si="15"/>
        <v>9</v>
      </c>
      <c r="AH18" s="113">
        <f t="shared" si="16"/>
        <v>39</v>
      </c>
      <c r="AI18" s="114">
        <f t="shared" si="10"/>
        <v>34650</v>
      </c>
      <c r="AJ18" s="114"/>
      <c r="AK18" s="114">
        <f t="shared" si="11"/>
        <v>415.8</v>
      </c>
      <c r="AL18" s="114">
        <f t="shared" si="17"/>
        <v>193.2</v>
      </c>
      <c r="AM18" s="115">
        <v>0.30199999999999999</v>
      </c>
      <c r="AN18" s="130"/>
      <c r="AO18" s="130"/>
      <c r="AP18" s="130"/>
      <c r="AQ18" s="22"/>
      <c r="AS18" s="115"/>
    </row>
    <row r="19" spans="1:45" s="126" customFormat="1" x14ac:dyDescent="0.25">
      <c r="A19" s="94">
        <v>11</v>
      </c>
      <c r="B19" s="129" t="s">
        <v>35</v>
      </c>
      <c r="C19" s="122">
        <v>1</v>
      </c>
      <c r="D19" s="107">
        <v>4.4569999999999999</v>
      </c>
      <c r="E19" s="123">
        <f t="shared" si="0"/>
        <v>4.46</v>
      </c>
      <c r="F19" s="124">
        <f t="shared" si="1"/>
        <v>53.5</v>
      </c>
      <c r="G19" s="124"/>
      <c r="H19" s="124"/>
      <c r="I19" s="124"/>
      <c r="J19" s="125"/>
      <c r="K19" s="96"/>
      <c r="L19" s="95">
        <f t="shared" si="12"/>
        <v>2.1</v>
      </c>
      <c r="M19" s="96">
        <f t="shared" si="2"/>
        <v>55.6</v>
      </c>
      <c r="N19" s="111">
        <v>0.61</v>
      </c>
      <c r="O19" s="96">
        <f t="shared" si="3"/>
        <v>33.9</v>
      </c>
      <c r="P19" s="96">
        <f t="shared" si="4"/>
        <v>89.5</v>
      </c>
      <c r="Q19" s="96">
        <f t="shared" si="5"/>
        <v>71.599999999999994</v>
      </c>
      <c r="R19" s="96">
        <f t="shared" si="6"/>
        <v>71.599999999999994</v>
      </c>
      <c r="S19" s="96">
        <f t="shared" si="7"/>
        <v>7.4</v>
      </c>
      <c r="T19" s="96">
        <f t="shared" si="13"/>
        <v>240.1</v>
      </c>
      <c r="U19" s="1556"/>
      <c r="V19" s="96">
        <f t="shared" si="18"/>
        <v>240.1</v>
      </c>
      <c r="W19" s="95">
        <f t="shared" si="19"/>
        <v>72.5</v>
      </c>
      <c r="X19" s="94"/>
      <c r="Y19" s="112">
        <v>30</v>
      </c>
      <c r="Z19" s="113">
        <f t="shared" si="8"/>
        <v>0</v>
      </c>
      <c r="AA19" s="94"/>
      <c r="AB19" s="112">
        <v>15</v>
      </c>
      <c r="AC19" s="113">
        <f t="shared" si="9"/>
        <v>0</v>
      </c>
      <c r="AD19" s="94"/>
      <c r="AE19" s="112">
        <v>30</v>
      </c>
      <c r="AF19" s="113">
        <f t="shared" si="14"/>
        <v>0</v>
      </c>
      <c r="AG19" s="113">
        <f t="shared" si="15"/>
        <v>0</v>
      </c>
      <c r="AH19" s="113">
        <f t="shared" si="16"/>
        <v>0</v>
      </c>
      <c r="AI19" s="114">
        <f t="shared" si="10"/>
        <v>20008.3</v>
      </c>
      <c r="AJ19" s="114"/>
      <c r="AK19" s="114">
        <f t="shared" si="11"/>
        <v>240.1</v>
      </c>
      <c r="AL19" s="114">
        <f t="shared" si="17"/>
        <v>161.19999999999999</v>
      </c>
      <c r="AM19" s="115">
        <v>0.30199999999999999</v>
      </c>
      <c r="AN19" s="130"/>
      <c r="AO19" s="130"/>
      <c r="AP19" s="130"/>
      <c r="AQ19" s="22"/>
      <c r="AS19" s="115"/>
    </row>
    <row r="20" spans="1:45" s="126" customFormat="1" x14ac:dyDescent="0.25">
      <c r="A20" s="94">
        <v>12</v>
      </c>
      <c r="B20" s="129" t="s">
        <v>25</v>
      </c>
      <c r="C20" s="125">
        <v>0.5</v>
      </c>
      <c r="D20" s="107">
        <v>4.3109999999999999</v>
      </c>
      <c r="E20" s="123">
        <f t="shared" si="0"/>
        <v>2.16</v>
      </c>
      <c r="F20" s="124">
        <f>E20*12</f>
        <v>25.9</v>
      </c>
      <c r="G20" s="124">
        <f>5056.7/1000</f>
        <v>5.0999999999999996</v>
      </c>
      <c r="H20" s="124">
        <f>437.8/1000</f>
        <v>0.4</v>
      </c>
      <c r="I20" s="124"/>
      <c r="J20" s="125"/>
      <c r="K20" s="96"/>
      <c r="L20" s="95">
        <f t="shared" si="12"/>
        <v>1</v>
      </c>
      <c r="M20" s="96">
        <f>F20+G20+H20+I20+J20+K20+L20</f>
        <v>32.4</v>
      </c>
      <c r="N20" s="111">
        <v>0.75</v>
      </c>
      <c r="O20" s="96">
        <f>M20*N20</f>
        <v>24.3</v>
      </c>
      <c r="P20" s="96">
        <f>M20+O20</f>
        <v>56.7</v>
      </c>
      <c r="Q20" s="96">
        <f>P20*0.8</f>
        <v>45.4</v>
      </c>
      <c r="R20" s="96">
        <f>P20*0.8</f>
        <v>45.4</v>
      </c>
      <c r="S20" s="96">
        <f>(P20+Q20+R20)*0.032</f>
        <v>4.7</v>
      </c>
      <c r="T20" s="96">
        <f>P20+Q20+R20+S20</f>
        <v>152.19999999999999</v>
      </c>
      <c r="U20" s="1556"/>
      <c r="V20" s="96">
        <f>T20*$U$9</f>
        <v>152.19999999999999</v>
      </c>
      <c r="W20" s="95">
        <f t="shared" si="19"/>
        <v>46</v>
      </c>
      <c r="X20" s="94"/>
      <c r="Y20" s="112">
        <v>30</v>
      </c>
      <c r="Z20" s="113">
        <f t="shared" si="8"/>
        <v>0</v>
      </c>
      <c r="AA20" s="94"/>
      <c r="AB20" s="112">
        <v>15</v>
      </c>
      <c r="AC20" s="113">
        <f t="shared" si="9"/>
        <v>0</v>
      </c>
      <c r="AD20" s="94"/>
      <c r="AE20" s="112">
        <v>30</v>
      </c>
      <c r="AF20" s="113">
        <f t="shared" si="14"/>
        <v>0</v>
      </c>
      <c r="AG20" s="113">
        <f t="shared" si="15"/>
        <v>0</v>
      </c>
      <c r="AH20" s="113">
        <f t="shared" si="16"/>
        <v>0</v>
      </c>
      <c r="AI20" s="114">
        <f>V20/12*1000</f>
        <v>12683.3</v>
      </c>
      <c r="AJ20" s="114"/>
      <c r="AK20" s="114">
        <f t="shared" si="11"/>
        <v>304.39999999999998</v>
      </c>
      <c r="AL20" s="114">
        <f t="shared" si="17"/>
        <v>172.9</v>
      </c>
      <c r="AM20" s="115">
        <v>0.30199999999999999</v>
      </c>
      <c r="AN20" s="130"/>
      <c r="AO20" s="130"/>
      <c r="AP20" s="130"/>
      <c r="AQ20" s="22"/>
      <c r="AS20" s="115"/>
    </row>
    <row r="21" spans="1:45" s="98" customFormat="1" ht="20.25" customHeight="1" x14ac:dyDescent="0.25">
      <c r="A21" s="1552" t="s">
        <v>8</v>
      </c>
      <c r="B21" s="1552"/>
      <c r="C21" s="97">
        <f t="shared" ref="C21:M21" si="20">SUM(C9:C20)</f>
        <v>15.5</v>
      </c>
      <c r="D21" s="97">
        <f t="shared" si="20"/>
        <v>119.5</v>
      </c>
      <c r="E21" s="97">
        <f t="shared" si="20"/>
        <v>148.69999999999999</v>
      </c>
      <c r="F21" s="97">
        <f t="shared" si="20"/>
        <v>1783.7</v>
      </c>
      <c r="G21" s="97">
        <f t="shared" si="20"/>
        <v>78.7</v>
      </c>
      <c r="H21" s="97">
        <f t="shared" si="20"/>
        <v>26.4</v>
      </c>
      <c r="I21" s="97">
        <f t="shared" si="20"/>
        <v>0</v>
      </c>
      <c r="J21" s="97">
        <f t="shared" si="20"/>
        <v>0</v>
      </c>
      <c r="K21" s="97">
        <f t="shared" si="20"/>
        <v>316.39999999999998</v>
      </c>
      <c r="L21" s="97">
        <f t="shared" si="20"/>
        <v>68.599999999999994</v>
      </c>
      <c r="M21" s="97">
        <f t="shared" si="20"/>
        <v>2273.8000000000002</v>
      </c>
      <c r="N21" s="97"/>
      <c r="O21" s="97">
        <f t="shared" ref="O21:AH21" si="21">SUM(O9:O20)</f>
        <v>1033.7</v>
      </c>
      <c r="P21" s="97">
        <f t="shared" si="21"/>
        <v>3307.5</v>
      </c>
      <c r="Q21" s="97">
        <f t="shared" si="21"/>
        <v>2646</v>
      </c>
      <c r="R21" s="97">
        <f t="shared" si="21"/>
        <v>2646</v>
      </c>
      <c r="S21" s="97">
        <f t="shared" si="21"/>
        <v>275.2</v>
      </c>
      <c r="T21" s="97">
        <f t="shared" si="21"/>
        <v>8874.7000000000007</v>
      </c>
      <c r="U21" s="97">
        <f t="shared" si="21"/>
        <v>1</v>
      </c>
      <c r="V21" s="97">
        <f t="shared" si="21"/>
        <v>8874.7000000000007</v>
      </c>
      <c r="W21" s="97">
        <f t="shared" si="21"/>
        <v>2635.8</v>
      </c>
      <c r="X21" s="97">
        <f t="shared" si="21"/>
        <v>6</v>
      </c>
      <c r="Y21" s="97">
        <f t="shared" si="21"/>
        <v>360</v>
      </c>
      <c r="Z21" s="97">
        <f t="shared" si="21"/>
        <v>180</v>
      </c>
      <c r="AA21" s="97">
        <f t="shared" si="21"/>
        <v>1</v>
      </c>
      <c r="AB21" s="97">
        <f t="shared" si="21"/>
        <v>180</v>
      </c>
      <c r="AC21" s="97">
        <f t="shared" si="21"/>
        <v>15</v>
      </c>
      <c r="AD21" s="97">
        <f t="shared" si="21"/>
        <v>0</v>
      </c>
      <c r="AE21" s="97">
        <f t="shared" si="21"/>
        <v>360</v>
      </c>
      <c r="AF21" s="97">
        <f t="shared" si="21"/>
        <v>0</v>
      </c>
      <c r="AG21" s="97">
        <f t="shared" si="21"/>
        <v>58.5</v>
      </c>
      <c r="AH21" s="97">
        <f t="shared" si="21"/>
        <v>253.5</v>
      </c>
      <c r="AN21" s="130"/>
      <c r="AO21" s="130"/>
      <c r="AP21" s="130"/>
      <c r="AQ21" s="22"/>
    </row>
    <row r="22" spans="1:45" x14ac:dyDescent="0.25">
      <c r="G22" s="131"/>
      <c r="H22" s="131"/>
      <c r="I22" s="131"/>
      <c r="J22" s="131"/>
      <c r="K22" s="131"/>
      <c r="L22" s="131"/>
      <c r="M22" s="131"/>
      <c r="N22" s="131"/>
      <c r="O22" s="131"/>
      <c r="P22" s="131"/>
      <c r="Q22" s="131"/>
      <c r="R22" s="131"/>
      <c r="S22" s="131"/>
      <c r="T22" s="131"/>
      <c r="V22" s="114"/>
      <c r="W22" s="66"/>
      <c r="X22" s="132"/>
      <c r="Y22" s="132"/>
      <c r="Z22" s="132"/>
      <c r="AA22" s="131"/>
      <c r="AD22" s="131"/>
      <c r="AG22" s="131"/>
      <c r="AH22" s="131"/>
      <c r="AN22" s="130"/>
      <c r="AO22" s="130"/>
      <c r="AP22" s="130"/>
    </row>
    <row r="23" spans="1:45" x14ac:dyDescent="0.25">
      <c r="G23" s="131"/>
      <c r="H23" s="131"/>
      <c r="I23" s="131"/>
      <c r="J23" s="131"/>
      <c r="K23" s="131"/>
      <c r="L23" s="131"/>
      <c r="M23" s="131"/>
      <c r="N23" s="131"/>
      <c r="O23" s="131"/>
      <c r="P23" s="131"/>
      <c r="Q23" s="131"/>
      <c r="R23" s="131"/>
      <c r="S23" s="131"/>
      <c r="T23" s="131"/>
      <c r="V23" s="114"/>
      <c r="W23" s="114"/>
      <c r="X23" s="133"/>
      <c r="Y23" s="133"/>
      <c r="Z23" s="133"/>
      <c r="AA23" s="131"/>
      <c r="AD23" s="131"/>
      <c r="AG23" s="131"/>
      <c r="AH23" s="131"/>
      <c r="AN23" s="130"/>
      <c r="AO23" s="130"/>
      <c r="AP23" s="130"/>
    </row>
    <row r="24" spans="1:45" s="62" customFormat="1" ht="13.8" x14ac:dyDescent="0.25">
      <c r="A24" s="68"/>
      <c r="B24" s="63"/>
      <c r="C24" s="26"/>
      <c r="D24" s="26"/>
      <c r="E24" s="26"/>
      <c r="F24" s="26"/>
      <c r="G24" s="26"/>
      <c r="H24" s="26"/>
      <c r="I24" s="26"/>
      <c r="J24" s="26"/>
      <c r="K24" s="26"/>
      <c r="L24" s="26"/>
      <c r="M24" s="26"/>
      <c r="N24" s="26"/>
      <c r="O24" s="26"/>
      <c r="P24" s="26"/>
      <c r="Q24" s="26"/>
      <c r="R24" s="26"/>
      <c r="S24" s="26"/>
      <c r="T24" s="26"/>
      <c r="U24" s="64"/>
      <c r="V24" s="69"/>
      <c r="W24" s="69"/>
      <c r="X24" s="65"/>
      <c r="Y24" s="65"/>
      <c r="Z24" s="65"/>
      <c r="AA24" s="65"/>
      <c r="AB24" s="65"/>
      <c r="AC24" s="65"/>
      <c r="AD24" s="65"/>
      <c r="AE24" s="65"/>
      <c r="AF24" s="65"/>
      <c r="AG24" s="65"/>
      <c r="AH24" s="65"/>
      <c r="AI24" s="67"/>
      <c r="AJ24" s="61"/>
      <c r="AK24" s="61"/>
      <c r="AL24" s="134"/>
      <c r="AM24" s="135"/>
    </row>
    <row r="25" spans="1:45" s="75" customFormat="1" ht="13.8" x14ac:dyDescent="0.25">
      <c r="A25" s="70"/>
      <c r="B25" s="70"/>
      <c r="C25" s="71"/>
      <c r="D25" s="72"/>
      <c r="E25" s="72"/>
      <c r="F25" s="72"/>
      <c r="G25" s="72"/>
      <c r="H25" s="73"/>
      <c r="I25" s="73"/>
      <c r="J25" s="27"/>
      <c r="K25" s="27"/>
      <c r="L25" s="27"/>
      <c r="M25" s="27"/>
      <c r="N25" s="74"/>
      <c r="O25" s="27"/>
      <c r="P25" s="27"/>
      <c r="Q25" s="27"/>
      <c r="R25" s="27"/>
      <c r="S25" s="27"/>
      <c r="T25" s="27"/>
      <c r="U25" s="27"/>
      <c r="V25" s="27"/>
      <c r="W25" s="27"/>
      <c r="X25" s="27"/>
      <c r="Y25" s="27"/>
      <c r="Z25" s="27"/>
      <c r="AA25" s="27"/>
      <c r="AB25" s="27"/>
      <c r="AC25" s="27"/>
      <c r="AD25" s="27"/>
      <c r="AE25" s="27"/>
      <c r="AF25" s="27"/>
      <c r="AG25" s="27"/>
      <c r="AH25" s="27"/>
      <c r="AI25" s="27"/>
      <c r="AJ25" s="76"/>
      <c r="AN25" s="76"/>
      <c r="AO25" s="76"/>
      <c r="AP25" s="76"/>
      <c r="AQ25" s="76"/>
      <c r="AR25" s="76"/>
    </row>
    <row r="26" spans="1:45" s="75" customFormat="1" ht="55.5" customHeight="1" x14ac:dyDescent="0.25">
      <c r="A26" s="70"/>
      <c r="B26" s="70"/>
      <c r="C26" s="71"/>
      <c r="D26" s="77"/>
      <c r="E26" s="77"/>
      <c r="F26" s="27"/>
      <c r="G26" s="1545" t="s">
        <v>140</v>
      </c>
      <c r="H26" s="1545"/>
      <c r="I26" s="1545" t="s">
        <v>141</v>
      </c>
      <c r="J26" s="1545"/>
      <c r="K26" s="1545" t="s">
        <v>128</v>
      </c>
      <c r="L26" s="1545"/>
      <c r="Q26" s="27"/>
      <c r="R26" s="27"/>
      <c r="S26" s="27"/>
      <c r="T26" s="27"/>
      <c r="U26" s="27"/>
      <c r="V26" s="27"/>
      <c r="W26" s="27"/>
      <c r="X26" s="27"/>
      <c r="Y26" s="27"/>
      <c r="Z26" s="27"/>
      <c r="AA26" s="27"/>
      <c r="AB26" s="27"/>
      <c r="AC26" s="27"/>
      <c r="AD26" s="27"/>
      <c r="AE26" s="27"/>
      <c r="AF26" s="27"/>
      <c r="AG26" s="27"/>
      <c r="AH26" s="27"/>
      <c r="AI26" s="27"/>
      <c r="AJ26" s="76"/>
      <c r="AN26" s="76"/>
      <c r="AO26" s="76"/>
      <c r="AP26" s="76"/>
      <c r="AQ26" s="76"/>
      <c r="AR26" s="76"/>
    </row>
    <row r="27" spans="1:45" s="75" customFormat="1" ht="13.8" x14ac:dyDescent="0.25">
      <c r="A27" s="70"/>
      <c r="B27" s="70"/>
      <c r="C27" s="71"/>
      <c r="D27" s="77"/>
      <c r="E27" s="77"/>
      <c r="F27" s="27"/>
      <c r="G27" s="28">
        <v>991</v>
      </c>
      <c r="H27" s="28">
        <v>992</v>
      </c>
      <c r="I27" s="28">
        <v>991</v>
      </c>
      <c r="J27" s="28">
        <v>992</v>
      </c>
      <c r="K27" s="28">
        <v>991</v>
      </c>
      <c r="L27" s="28">
        <v>992</v>
      </c>
      <c r="Q27" s="27"/>
      <c r="R27" s="27"/>
      <c r="S27" s="27"/>
      <c r="T27" s="27"/>
      <c r="U27" s="27"/>
      <c r="V27" s="27"/>
      <c r="W27" s="27"/>
      <c r="X27" s="27"/>
      <c r="Y27" s="27"/>
      <c r="Z27" s="27"/>
      <c r="AA27" s="27"/>
      <c r="AB27" s="27"/>
      <c r="AC27" s="27"/>
      <c r="AD27" s="27"/>
      <c r="AE27" s="27"/>
      <c r="AF27" s="27"/>
      <c r="AG27" s="27"/>
      <c r="AH27" s="27"/>
      <c r="AI27" s="27"/>
      <c r="AJ27" s="76"/>
      <c r="AN27" s="76"/>
      <c r="AO27" s="76"/>
      <c r="AP27" s="76"/>
      <c r="AQ27" s="76"/>
      <c r="AR27" s="76"/>
    </row>
    <row r="28" spans="1:45" s="75" customFormat="1" ht="13.8" x14ac:dyDescent="0.25">
      <c r="A28" s="70"/>
      <c r="B28" s="70"/>
      <c r="C28" s="71"/>
      <c r="D28" s="77"/>
      <c r="E28" s="77"/>
      <c r="F28" s="27"/>
      <c r="G28" s="29">
        <v>8874.7000000000007</v>
      </c>
      <c r="H28" s="29">
        <v>2640.7</v>
      </c>
      <c r="I28" s="29">
        <f>V21</f>
        <v>8874.7000000000007</v>
      </c>
      <c r="J28" s="29">
        <f>W21</f>
        <v>2635.8</v>
      </c>
      <c r="K28" s="29">
        <f>G28-I28</f>
        <v>0</v>
      </c>
      <c r="L28" s="29">
        <f>H28-J28</f>
        <v>4.9000000000000004</v>
      </c>
      <c r="Q28" s="27"/>
      <c r="R28" s="27"/>
      <c r="S28" s="27"/>
      <c r="T28" s="27"/>
      <c r="U28" s="27"/>
      <c r="V28" s="27"/>
      <c r="W28" s="27"/>
      <c r="X28" s="27"/>
      <c r="Y28" s="27"/>
      <c r="Z28" s="27"/>
      <c r="AA28" s="27"/>
      <c r="AB28" s="27"/>
      <c r="AC28" s="27"/>
      <c r="AD28" s="27"/>
      <c r="AE28" s="27"/>
      <c r="AF28" s="27"/>
      <c r="AG28" s="27"/>
      <c r="AH28" s="27"/>
      <c r="AI28" s="27"/>
      <c r="AJ28" s="76"/>
      <c r="AN28" s="76"/>
      <c r="AO28" s="76"/>
      <c r="AP28" s="76"/>
      <c r="AQ28" s="76"/>
      <c r="AR28" s="76"/>
    </row>
    <row r="29" spans="1:45" s="143" customFormat="1" ht="13.8" x14ac:dyDescent="0.25">
      <c r="A29" s="136"/>
      <c r="B29" s="136"/>
      <c r="C29" s="137"/>
      <c r="D29" s="138"/>
      <c r="E29" s="138"/>
      <c r="F29" s="138"/>
      <c r="G29" s="138"/>
      <c r="H29" s="139"/>
      <c r="I29" s="139"/>
      <c r="J29" s="140"/>
      <c r="K29" s="140"/>
      <c r="L29" s="140"/>
      <c r="M29" s="140"/>
      <c r="N29" s="141"/>
      <c r="O29" s="140"/>
      <c r="P29" s="140"/>
      <c r="Q29" s="140"/>
      <c r="R29" s="140"/>
      <c r="S29" s="140"/>
      <c r="T29" s="140"/>
      <c r="U29" s="140"/>
      <c r="V29" s="140"/>
      <c r="W29" s="140"/>
      <c r="X29" s="140"/>
      <c r="Y29" s="140"/>
      <c r="Z29" s="140"/>
      <c r="AA29" s="140"/>
      <c r="AB29" s="140"/>
      <c r="AC29" s="140"/>
      <c r="AD29" s="140"/>
      <c r="AE29" s="140"/>
      <c r="AF29" s="140"/>
      <c r="AG29" s="140"/>
      <c r="AH29" s="140"/>
      <c r="AI29" s="142"/>
      <c r="AN29" s="22"/>
      <c r="AO29" s="22"/>
      <c r="AP29" s="22"/>
      <c r="AQ29" s="22"/>
    </row>
    <row r="30" spans="1:45" s="143" customFormat="1" ht="13.8" x14ac:dyDescent="0.25">
      <c r="A30" s="136"/>
      <c r="B30" s="136"/>
      <c r="C30" s="137"/>
      <c r="D30" s="138"/>
      <c r="E30" s="138"/>
      <c r="F30" s="138"/>
      <c r="G30" s="138"/>
      <c r="H30" s="139"/>
      <c r="I30" s="139"/>
      <c r="J30" s="140"/>
      <c r="K30" s="140"/>
      <c r="L30" s="140"/>
      <c r="M30" s="140"/>
      <c r="N30" s="141"/>
      <c r="O30" s="140"/>
      <c r="P30" s="140"/>
      <c r="Q30" s="140"/>
      <c r="R30" s="140"/>
      <c r="S30" s="140"/>
      <c r="T30" s="140"/>
      <c r="U30" s="140"/>
      <c r="V30" s="140"/>
      <c r="W30" s="140"/>
      <c r="X30" s="140"/>
      <c r="Y30" s="140"/>
      <c r="Z30" s="140"/>
      <c r="AA30" s="140"/>
      <c r="AB30" s="140"/>
      <c r="AC30" s="140"/>
      <c r="AD30" s="140"/>
      <c r="AE30" s="140"/>
      <c r="AF30" s="140"/>
      <c r="AG30" s="140"/>
      <c r="AH30" s="140"/>
      <c r="AI30" s="142"/>
      <c r="AN30" s="22"/>
      <c r="AO30" s="22"/>
      <c r="AP30" s="22"/>
      <c r="AQ30" s="22"/>
    </row>
    <row r="31" spans="1:45" s="143" customFormat="1" ht="13.8" x14ac:dyDescent="0.25">
      <c r="A31" s="136"/>
      <c r="B31" s="136"/>
      <c r="C31" s="137"/>
      <c r="D31" s="144"/>
      <c r="E31" s="144"/>
      <c r="F31" s="140"/>
      <c r="G31" s="140"/>
      <c r="H31" s="139"/>
      <c r="I31" s="139"/>
      <c r="J31" s="140"/>
      <c r="K31" s="140"/>
      <c r="L31" s="140"/>
      <c r="M31" s="140"/>
      <c r="N31" s="141"/>
      <c r="O31" s="140"/>
      <c r="P31" s="140"/>
      <c r="Q31" s="140"/>
      <c r="R31" s="140"/>
      <c r="S31" s="140"/>
      <c r="T31" s="140"/>
      <c r="U31" s="140"/>
      <c r="V31" s="140"/>
      <c r="W31" s="140"/>
      <c r="X31" s="140"/>
      <c r="Y31" s="140"/>
      <c r="Z31" s="140"/>
      <c r="AA31" s="140"/>
      <c r="AB31" s="140"/>
      <c r="AC31" s="140"/>
      <c r="AD31" s="140"/>
      <c r="AE31" s="140"/>
      <c r="AF31" s="140"/>
      <c r="AG31" s="140"/>
      <c r="AH31" s="140"/>
      <c r="AI31" s="142"/>
      <c r="AN31" s="22"/>
      <c r="AO31" s="22"/>
      <c r="AP31" s="22"/>
      <c r="AQ31" s="22"/>
    </row>
    <row r="32" spans="1:45" s="35" customFormat="1" ht="21" x14ac:dyDescent="0.25">
      <c r="A32" s="81"/>
      <c r="B32" s="82" t="s">
        <v>138</v>
      </c>
      <c r="C32" s="83"/>
      <c r="D32" s="84"/>
      <c r="E32" s="84"/>
      <c r="F32" s="85"/>
      <c r="G32" s="85"/>
      <c r="H32" s="86"/>
      <c r="I32" s="86"/>
      <c r="J32" s="85"/>
      <c r="K32" s="30" t="s">
        <v>166</v>
      </c>
      <c r="L32" s="85"/>
      <c r="M32" s="85"/>
      <c r="N32" s="87"/>
      <c r="O32" s="85"/>
      <c r="P32" s="85"/>
      <c r="Q32" s="85"/>
      <c r="R32" s="85"/>
      <c r="S32" s="85"/>
      <c r="T32" s="85"/>
      <c r="U32" s="85"/>
      <c r="V32" s="85"/>
      <c r="W32" s="85"/>
      <c r="X32" s="85"/>
      <c r="Y32" s="85"/>
      <c r="Z32" s="85"/>
      <c r="AA32" s="85"/>
      <c r="AB32" s="85"/>
      <c r="AC32" s="85"/>
      <c r="AD32" s="85"/>
      <c r="AE32" s="85"/>
      <c r="AF32" s="85"/>
      <c r="AG32" s="85"/>
      <c r="AH32" s="85"/>
      <c r="AI32" s="85"/>
      <c r="AK32" s="88"/>
      <c r="AL32" s="88"/>
      <c r="AM32" s="88"/>
      <c r="AN32" s="88"/>
      <c r="AO32" s="88"/>
    </row>
    <row r="33" spans="1:43" s="143" customFormat="1" ht="13.8" x14ac:dyDescent="0.25">
      <c r="A33" s="136"/>
      <c r="B33" s="136"/>
      <c r="C33" s="137"/>
      <c r="D33" s="144"/>
      <c r="E33" s="144"/>
      <c r="F33" s="140"/>
      <c r="G33" s="140"/>
      <c r="H33" s="139"/>
      <c r="I33" s="139"/>
      <c r="J33" s="140"/>
      <c r="K33" s="140"/>
      <c r="L33" s="140"/>
      <c r="M33" s="140"/>
      <c r="N33" s="141"/>
      <c r="O33" s="140"/>
      <c r="P33" s="140"/>
      <c r="Q33" s="140"/>
      <c r="R33" s="140"/>
      <c r="S33" s="140"/>
      <c r="T33" s="140"/>
      <c r="U33" s="140"/>
      <c r="V33" s="140"/>
      <c r="W33" s="140"/>
      <c r="X33" s="140"/>
      <c r="Y33" s="140"/>
      <c r="Z33" s="140"/>
      <c r="AA33" s="140"/>
      <c r="AB33" s="140"/>
      <c r="AC33" s="140"/>
      <c r="AD33" s="140"/>
      <c r="AE33" s="140"/>
      <c r="AF33" s="140"/>
      <c r="AG33" s="140"/>
      <c r="AH33" s="140"/>
      <c r="AI33" s="142"/>
      <c r="AN33" s="22"/>
      <c r="AO33" s="22"/>
      <c r="AP33" s="22"/>
      <c r="AQ33" s="22"/>
    </row>
    <row r="34" spans="1:43" s="143" customFormat="1" ht="20.25" customHeight="1" x14ac:dyDescent="0.25">
      <c r="A34" s="145" t="s">
        <v>96</v>
      </c>
      <c r="B34" s="145"/>
      <c r="C34" s="146"/>
      <c r="D34" s="146"/>
      <c r="E34" s="146"/>
      <c r="F34" s="146"/>
      <c r="G34" s="146"/>
      <c r="H34" s="146"/>
      <c r="I34" s="146"/>
      <c r="J34" s="146"/>
      <c r="K34" s="146"/>
      <c r="L34" s="147"/>
      <c r="M34" s="147"/>
      <c r="N34" s="148"/>
      <c r="O34" s="147"/>
      <c r="P34" s="147"/>
      <c r="Q34" s="147"/>
      <c r="R34" s="147"/>
      <c r="S34" s="147"/>
      <c r="T34" s="147"/>
      <c r="U34" s="147"/>
      <c r="V34" s="147"/>
      <c r="W34" s="147"/>
      <c r="X34" s="147"/>
      <c r="Y34" s="147"/>
      <c r="Z34" s="147"/>
      <c r="AA34" s="147"/>
      <c r="AB34" s="147"/>
      <c r="AC34" s="147"/>
      <c r="AD34" s="147"/>
      <c r="AE34" s="147"/>
      <c r="AF34" s="147"/>
      <c r="AG34" s="147"/>
      <c r="AH34" s="147"/>
      <c r="AI34" s="142"/>
      <c r="AN34" s="62"/>
      <c r="AO34" s="62"/>
      <c r="AP34" s="62"/>
      <c r="AQ34" s="60"/>
    </row>
    <row r="35" spans="1:43" s="143" customFormat="1" ht="20.25" customHeight="1" x14ac:dyDescent="0.25">
      <c r="A35" s="145" t="s">
        <v>139</v>
      </c>
      <c r="B35" s="149"/>
      <c r="C35" s="150"/>
      <c r="D35" s="150"/>
      <c r="E35" s="151"/>
      <c r="F35" s="151"/>
      <c r="G35" s="151"/>
      <c r="H35" s="151"/>
      <c r="I35" s="151"/>
      <c r="J35" s="151"/>
      <c r="K35" s="151"/>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2"/>
      <c r="AN35" s="62"/>
      <c r="AO35" s="62"/>
      <c r="AP35" s="62"/>
      <c r="AQ35" s="62"/>
    </row>
    <row r="36" spans="1:43" ht="16.8" x14ac:dyDescent="0.25">
      <c r="A36" s="152"/>
      <c r="I36" s="153"/>
      <c r="L36" s="99"/>
      <c r="M36" s="99"/>
      <c r="N36" s="99"/>
      <c r="O36" s="99"/>
      <c r="P36" s="99"/>
      <c r="Q36" s="99"/>
      <c r="W36" s="131"/>
      <c r="X36" s="131"/>
      <c r="AA36" s="131"/>
      <c r="AD36" s="131"/>
      <c r="AG36" s="131"/>
      <c r="AH36" s="131"/>
      <c r="AN36" s="62"/>
      <c r="AO36" s="62"/>
      <c r="AP36" s="62"/>
      <c r="AQ36" s="62"/>
    </row>
    <row r="37" spans="1:43" ht="16.8" x14ac:dyDescent="0.25">
      <c r="A37" s="152"/>
      <c r="E37" s="115"/>
      <c r="L37" s="99"/>
      <c r="M37" s="99"/>
      <c r="N37" s="99"/>
      <c r="O37" s="99"/>
      <c r="P37" s="99"/>
      <c r="Q37" s="99"/>
      <c r="W37" s="131"/>
      <c r="X37" s="131"/>
      <c r="AA37" s="131"/>
      <c r="AD37" s="131"/>
      <c r="AG37" s="131"/>
      <c r="AH37" s="131"/>
      <c r="AN37" s="62"/>
      <c r="AO37" s="62"/>
      <c r="AP37" s="62"/>
      <c r="AQ37" s="62"/>
    </row>
    <row r="38" spans="1:43" x14ac:dyDescent="0.25">
      <c r="E38" s="115"/>
    </row>
    <row r="39" spans="1:43" x14ac:dyDescent="0.25">
      <c r="E39" s="115"/>
    </row>
    <row r="40" spans="1:43" x14ac:dyDescent="0.25">
      <c r="E40" s="115"/>
    </row>
    <row r="41" spans="1:43" x14ac:dyDescent="0.25">
      <c r="E41" s="115"/>
    </row>
    <row r="42" spans="1:43" x14ac:dyDescent="0.25">
      <c r="E42" s="115"/>
    </row>
    <row r="43" spans="1:43" x14ac:dyDescent="0.25">
      <c r="E43" s="115"/>
    </row>
  </sheetData>
  <autoFilter ref="A8:AS8"/>
  <mergeCells count="37">
    <mergeCell ref="W6:W7"/>
    <mergeCell ref="X6:Z6"/>
    <mergeCell ref="G26:H26"/>
    <mergeCell ref="I26:J26"/>
    <mergeCell ref="K26:L26"/>
    <mergeCell ref="K6:K7"/>
    <mergeCell ref="A21:B21"/>
    <mergeCell ref="S6:S7"/>
    <mergeCell ref="T6:T7"/>
    <mergeCell ref="U6:U7"/>
    <mergeCell ref="V6:V7"/>
    <mergeCell ref="L6:L7"/>
    <mergeCell ref="M6:M7"/>
    <mergeCell ref="N6:O6"/>
    <mergeCell ref="P6:P7"/>
    <mergeCell ref="Q6:Q7"/>
    <mergeCell ref="G6:G7"/>
    <mergeCell ref="H6:H7"/>
    <mergeCell ref="I6:I7"/>
    <mergeCell ref="J6:J7"/>
    <mergeCell ref="U9:U20"/>
    <mergeCell ref="AE1:AH1"/>
    <mergeCell ref="A2:AH2"/>
    <mergeCell ref="A3:AH3"/>
    <mergeCell ref="A5:A7"/>
    <mergeCell ref="B5:B7"/>
    <mergeCell ref="C5:C7"/>
    <mergeCell ref="D5:W5"/>
    <mergeCell ref="D6:D7"/>
    <mergeCell ref="E6:E7"/>
    <mergeCell ref="F6:F7"/>
    <mergeCell ref="AG6:AG7"/>
    <mergeCell ref="X5:AH5"/>
    <mergeCell ref="R6:R7"/>
    <mergeCell ref="AH6:AH7"/>
    <mergeCell ref="AA6:AC6"/>
    <mergeCell ref="AD6:AF6"/>
  </mergeCells>
  <printOptions horizontalCentered="1"/>
  <pageMargins left="0" right="0" top="0" bottom="0" header="0.31496062992125984" footer="0.31496062992125984"/>
  <pageSetup paperSize="9" scale="38"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C"/>
    <pageSetUpPr fitToPage="1"/>
  </sheetPr>
  <dimension ref="A1:V134"/>
  <sheetViews>
    <sheetView view="pageBreakPreview" topLeftCell="A10" zoomScale="70" zoomScaleNormal="70" zoomScaleSheetLayoutView="70" workbookViewId="0">
      <pane ySplit="21" topLeftCell="A40" activePane="bottomLeft" state="frozen"/>
      <selection activeCell="A10" sqref="A10"/>
      <selection pane="bottomLeft" activeCell="A22" sqref="A22"/>
    </sheetView>
  </sheetViews>
  <sheetFormatPr defaultColWidth="9.33203125" defaultRowHeight="10.199999999999999" customHeight="1" x14ac:dyDescent="0.3"/>
  <cols>
    <col min="1" max="1" width="70.77734375" style="344" customWidth="1"/>
    <col min="2" max="2" width="10.109375" style="344" customWidth="1"/>
    <col min="3" max="3" width="14.77734375" style="344" customWidth="1"/>
    <col min="4" max="4" width="15.44140625" style="344" customWidth="1"/>
    <col min="5" max="5" width="14.33203125" style="344" customWidth="1"/>
    <col min="6" max="7" width="12.44140625" style="344" customWidth="1"/>
    <col min="8" max="8" width="12.44140625" style="601" customWidth="1"/>
    <col min="9" max="9" width="16.44140625" style="601" customWidth="1"/>
    <col min="10" max="10" width="12.44140625" style="344" customWidth="1"/>
    <col min="11" max="11" width="15.109375" style="344" customWidth="1"/>
    <col min="12" max="12" width="18" style="601" bestFit="1" customWidth="1"/>
    <col min="13" max="13" width="20.6640625" style="601" bestFit="1" customWidth="1"/>
    <col min="14" max="14" width="24" style="601" bestFit="1" customWidth="1"/>
    <col min="15" max="15" width="14.77734375" style="344" customWidth="1"/>
    <col min="16" max="16" width="15.109375" style="344" bestFit="1" customWidth="1"/>
    <col min="17" max="17" width="23.33203125" style="344" customWidth="1"/>
    <col min="18" max="18" width="10.33203125" style="344" customWidth="1"/>
    <col min="19" max="21" width="9.33203125" style="344"/>
    <col min="22" max="22" width="13.109375" style="344" customWidth="1"/>
    <col min="23" max="16384" width="9.33203125" style="344"/>
  </cols>
  <sheetData>
    <row r="1" spans="1:22" s="429" customFormat="1" ht="13.8" x14ac:dyDescent="0.25">
      <c r="B1" s="430"/>
      <c r="I1" s="377"/>
      <c r="J1" s="1557" t="s">
        <v>624</v>
      </c>
      <c r="K1" s="1558"/>
      <c r="L1" s="1558"/>
      <c r="M1" s="1558"/>
      <c r="N1" s="1558"/>
      <c r="O1" s="1558"/>
      <c r="R1" s="377"/>
      <c r="S1" s="377"/>
      <c r="T1" s="1574"/>
      <c r="U1" s="1574"/>
      <c r="V1" s="1574"/>
    </row>
    <row r="2" spans="1:22" s="429" customFormat="1" ht="15.6" x14ac:dyDescent="0.25">
      <c r="B2" s="430"/>
      <c r="I2" s="596"/>
      <c r="J2" s="355"/>
      <c r="K2" s="355"/>
      <c r="L2" s="355"/>
      <c r="M2" s="355"/>
      <c r="N2" s="355"/>
      <c r="O2" s="355"/>
      <c r="R2" s="1575"/>
      <c r="S2" s="1575"/>
      <c r="T2" s="1575"/>
      <c r="U2" s="1575"/>
      <c r="V2" s="1575"/>
    </row>
    <row r="3" spans="1:22" s="429" customFormat="1" ht="11.4" customHeight="1" x14ac:dyDescent="0.25">
      <c r="B3" s="430"/>
      <c r="I3" s="377"/>
      <c r="J3" s="1560" t="s">
        <v>665</v>
      </c>
      <c r="K3" s="1560"/>
      <c r="L3" s="1560"/>
      <c r="M3" s="1560"/>
      <c r="N3" s="1560"/>
      <c r="O3" s="1560"/>
      <c r="R3" s="377"/>
      <c r="S3" s="377"/>
      <c r="T3" s="377"/>
      <c r="U3" s="377"/>
      <c r="V3" s="377"/>
    </row>
    <row r="4" spans="1:22" s="429" customFormat="1" ht="12.6" customHeight="1" x14ac:dyDescent="0.25">
      <c r="B4" s="430"/>
      <c r="I4" s="594"/>
      <c r="J4" s="1570" t="s">
        <v>625</v>
      </c>
      <c r="K4" s="1570"/>
      <c r="L4" s="1570"/>
      <c r="M4" s="1570"/>
      <c r="N4" s="1570"/>
      <c r="O4" s="1570"/>
      <c r="R4" s="1576"/>
      <c r="S4" s="1576"/>
      <c r="T4" s="1576"/>
      <c r="U4" s="1576"/>
      <c r="V4" s="1576"/>
    </row>
    <row r="5" spans="1:22" s="429" customFormat="1" ht="15.6" x14ac:dyDescent="0.25">
      <c r="B5" s="430"/>
      <c r="I5" s="599"/>
      <c r="J5" s="443"/>
      <c r="K5" s="443"/>
      <c r="L5" s="443"/>
      <c r="M5" s="443"/>
      <c r="N5" s="443"/>
      <c r="O5" s="443"/>
      <c r="R5" s="1575"/>
      <c r="S5" s="1575"/>
      <c r="T5" s="1575"/>
      <c r="U5" s="1575"/>
      <c r="V5" s="1575"/>
    </row>
    <row r="6" spans="1:22" s="429" customFormat="1" ht="13.2" customHeight="1" x14ac:dyDescent="0.25">
      <c r="B6" s="430"/>
      <c r="I6" s="596"/>
      <c r="J6" s="444"/>
      <c r="K6" s="444"/>
      <c r="L6" s="444"/>
      <c r="M6" s="444"/>
      <c r="N6" s="444"/>
      <c r="O6" s="444"/>
      <c r="R6" s="1575"/>
      <c r="S6" s="1575"/>
      <c r="T6" s="1575"/>
      <c r="U6" s="1575"/>
      <c r="V6" s="1575"/>
    </row>
    <row r="7" spans="1:22" s="429" customFormat="1" ht="21.6" customHeight="1" x14ac:dyDescent="0.25">
      <c r="B7" s="430"/>
      <c r="I7" s="596"/>
      <c r="J7" s="443"/>
      <c r="K7" s="443"/>
      <c r="L7" s="445"/>
      <c r="M7" s="355"/>
      <c r="N7" s="1560" t="s">
        <v>664</v>
      </c>
      <c r="O7" s="1560"/>
      <c r="R7" s="377"/>
      <c r="S7" s="377"/>
      <c r="T7" s="377"/>
      <c r="U7" s="1576"/>
      <c r="V7" s="1576"/>
    </row>
    <row r="8" spans="1:22" s="429" customFormat="1" ht="15.6" x14ac:dyDescent="0.25">
      <c r="B8" s="430"/>
      <c r="I8" s="595"/>
      <c r="J8" s="1570" t="s">
        <v>626</v>
      </c>
      <c r="K8" s="1570"/>
      <c r="L8" s="446"/>
      <c r="M8" s="355"/>
      <c r="N8" s="1570" t="s">
        <v>627</v>
      </c>
      <c r="O8" s="1570"/>
      <c r="Q8" s="431"/>
      <c r="R8" s="378"/>
      <c r="S8" s="378"/>
      <c r="T8" s="377"/>
      <c r="U8" s="432"/>
      <c r="V8" s="432"/>
    </row>
    <row r="9" spans="1:22" s="429" customFormat="1" ht="13.8" x14ac:dyDescent="0.25">
      <c r="B9" s="430"/>
      <c r="I9" s="377"/>
      <c r="J9" s="1571" t="s">
        <v>674</v>
      </c>
      <c r="K9" s="1572"/>
      <c r="L9" s="1572"/>
      <c r="M9" s="1572"/>
      <c r="N9" s="681"/>
      <c r="O9" s="482"/>
      <c r="Q9" s="384"/>
      <c r="R9" s="1581"/>
      <c r="S9" s="1575"/>
      <c r="T9" s="1575"/>
      <c r="U9" s="1575"/>
      <c r="V9" s="1575"/>
    </row>
    <row r="10" spans="1:22" s="429" customFormat="1" ht="13.8" x14ac:dyDescent="0.25">
      <c r="B10" s="430"/>
      <c r="R10" s="431"/>
    </row>
    <row r="11" spans="1:22" s="429" customFormat="1" ht="13.8" x14ac:dyDescent="0.25">
      <c r="A11" s="1563" t="s">
        <v>628</v>
      </c>
      <c r="B11" s="1563"/>
      <c r="C11" s="1563"/>
      <c r="D11" s="1563"/>
      <c r="E11" s="1563"/>
      <c r="F11" s="1563"/>
      <c r="G11" s="1563"/>
      <c r="H11" s="1563"/>
      <c r="I11" s="1563"/>
      <c r="J11" s="1563"/>
      <c r="K11" s="1563"/>
      <c r="L11" s="1563"/>
      <c r="M11" s="1563"/>
      <c r="R11" s="431"/>
    </row>
    <row r="12" spans="1:22" s="429" customFormat="1" ht="13.8" x14ac:dyDescent="0.25">
      <c r="A12" s="1563" t="s">
        <v>901</v>
      </c>
      <c r="B12" s="1563"/>
      <c r="C12" s="1563"/>
      <c r="D12" s="1563"/>
      <c r="E12" s="1563"/>
      <c r="F12" s="1563"/>
      <c r="G12" s="1563"/>
      <c r="H12" s="1563"/>
      <c r="I12" s="1563"/>
      <c r="J12" s="1563"/>
      <c r="K12" s="1563"/>
      <c r="L12" s="1563"/>
      <c r="M12" s="1563"/>
      <c r="Q12" s="377"/>
      <c r="R12" s="384"/>
    </row>
    <row r="13" spans="1:22" s="429" customFormat="1" ht="16.8" x14ac:dyDescent="0.25">
      <c r="A13" s="1563" t="s">
        <v>883</v>
      </c>
      <c r="B13" s="1563"/>
      <c r="C13" s="1563"/>
      <c r="D13" s="1563"/>
      <c r="E13" s="1563"/>
      <c r="F13" s="1563"/>
      <c r="G13" s="1563"/>
      <c r="H13" s="1563"/>
      <c r="I13" s="1563"/>
      <c r="J13" s="1563"/>
      <c r="K13" s="1563"/>
      <c r="L13" s="1563"/>
      <c r="M13" s="1563"/>
      <c r="Q13" s="433"/>
      <c r="R13" s="431"/>
    </row>
    <row r="14" spans="1:22" s="429" customFormat="1" ht="13.8" x14ac:dyDescent="0.25">
      <c r="A14" s="481"/>
      <c r="B14" s="481"/>
      <c r="C14" s="481"/>
      <c r="D14" s="481"/>
      <c r="E14" s="481"/>
      <c r="F14" s="481"/>
      <c r="G14" s="481"/>
      <c r="H14" s="735"/>
      <c r="I14" s="593"/>
      <c r="J14" s="481"/>
      <c r="K14" s="481"/>
      <c r="L14" s="641" t="s">
        <v>675</v>
      </c>
      <c r="M14" s="641"/>
      <c r="Q14" s="433"/>
      <c r="R14" s="480"/>
    </row>
    <row r="15" spans="1:22" s="429" customFormat="1" ht="16.8" x14ac:dyDescent="0.25">
      <c r="B15" s="1579" t="s">
        <v>881</v>
      </c>
      <c r="C15" s="1580"/>
      <c r="D15" s="1580"/>
      <c r="E15" s="1580"/>
      <c r="F15" s="1580"/>
      <c r="G15" s="1580"/>
      <c r="H15" s="1580"/>
      <c r="Q15" s="434"/>
      <c r="R15" s="435"/>
    </row>
    <row r="16" spans="1:22" s="429" customFormat="1" ht="14.4" thickBot="1" x14ac:dyDescent="0.3">
      <c r="B16" s="430"/>
      <c r="M16" s="642"/>
      <c r="O16" s="436" t="s">
        <v>629</v>
      </c>
    </row>
    <row r="17" spans="1:17" s="429" customFormat="1" ht="13.8" x14ac:dyDescent="0.25">
      <c r="A17" s="429" t="s">
        <v>630</v>
      </c>
      <c r="B17" s="430"/>
      <c r="K17" s="1583"/>
      <c r="L17" s="1582"/>
      <c r="M17" s="1583" t="s">
        <v>631</v>
      </c>
      <c r="N17" s="1582"/>
      <c r="O17" s="437"/>
    </row>
    <row r="18" spans="1:17" s="429" customFormat="1" ht="13.8" x14ac:dyDescent="0.25">
      <c r="A18" s="429" t="s">
        <v>632</v>
      </c>
      <c r="B18" s="377"/>
      <c r="C18" s="377"/>
      <c r="D18" s="377"/>
      <c r="E18" s="377"/>
      <c r="F18" s="377"/>
      <c r="G18" s="377"/>
      <c r="H18" s="377"/>
      <c r="I18" s="377"/>
      <c r="J18" s="377"/>
      <c r="K18" s="1582"/>
      <c r="L18" s="1582"/>
      <c r="M18" s="1582" t="s">
        <v>633</v>
      </c>
      <c r="N18" s="1582"/>
      <c r="O18" s="438"/>
    </row>
    <row r="19" spans="1:17" s="429" customFormat="1" ht="13.8" x14ac:dyDescent="0.25">
      <c r="B19" s="430"/>
      <c r="L19" s="640"/>
      <c r="N19" s="640" t="s">
        <v>634</v>
      </c>
      <c r="O19" s="438"/>
    </row>
    <row r="20" spans="1:17" s="429" customFormat="1" ht="13.8" x14ac:dyDescent="0.25">
      <c r="B20" s="430"/>
      <c r="L20" s="640"/>
      <c r="N20" s="640" t="s">
        <v>633</v>
      </c>
      <c r="O20" s="438"/>
    </row>
    <row r="21" spans="1:17" s="429" customFormat="1" ht="13.8" x14ac:dyDescent="0.25">
      <c r="A21" s="439" t="s">
        <v>918</v>
      </c>
      <c r="B21" s="377"/>
      <c r="C21" s="377"/>
      <c r="D21" s="377"/>
      <c r="E21" s="377"/>
      <c r="F21" s="377"/>
      <c r="G21" s="377"/>
      <c r="H21" s="377"/>
      <c r="I21" s="377"/>
      <c r="J21" s="377"/>
      <c r="K21" s="377"/>
      <c r="L21" s="639"/>
      <c r="M21" s="377"/>
      <c r="N21" s="639" t="s">
        <v>635</v>
      </c>
      <c r="O21" s="438"/>
    </row>
    <row r="22" spans="1:17" s="429" customFormat="1" ht="13.8" x14ac:dyDescent="0.25">
      <c r="A22" s="429" t="s">
        <v>636</v>
      </c>
      <c r="B22" s="430"/>
      <c r="D22" s="433"/>
      <c r="E22" s="433"/>
      <c r="F22" s="433"/>
      <c r="G22" s="433"/>
      <c r="H22" s="433"/>
      <c r="I22" s="433"/>
      <c r="J22" s="433"/>
      <c r="K22" s="433"/>
      <c r="L22" s="640"/>
      <c r="M22" s="433"/>
      <c r="N22" s="640" t="s">
        <v>637</v>
      </c>
      <c r="O22" s="438"/>
    </row>
    <row r="23" spans="1:17" s="439" customFormat="1" ht="13.8" x14ac:dyDescent="0.25">
      <c r="B23" s="440"/>
      <c r="D23" s="434"/>
      <c r="E23" s="434"/>
      <c r="F23" s="434"/>
      <c r="G23" s="434"/>
      <c r="H23" s="434"/>
      <c r="I23" s="434"/>
      <c r="J23" s="434"/>
      <c r="K23" s="434"/>
      <c r="L23" s="435"/>
      <c r="M23" s="434"/>
      <c r="N23" s="435" t="s">
        <v>638</v>
      </c>
      <c r="O23" s="441">
        <v>383</v>
      </c>
    </row>
    <row r="24" spans="1:17" s="356" customFormat="1" ht="14.4" x14ac:dyDescent="0.3">
      <c r="A24" s="1584" t="s">
        <v>290</v>
      </c>
      <c r="B24" s="1584"/>
      <c r="C24" s="1584"/>
      <c r="D24" s="1584"/>
      <c r="E24" s="1584"/>
      <c r="F24" s="1584"/>
      <c r="G24" s="1584"/>
      <c r="H24" s="1584"/>
      <c r="I24" s="1584"/>
      <c r="J24" s="1584"/>
      <c r="K24" s="1584"/>
      <c r="L24" s="1584"/>
      <c r="M24" s="1584"/>
      <c r="N24" s="1584"/>
      <c r="O24" s="1584"/>
    </row>
    <row r="25" spans="1:17" s="356" customFormat="1" ht="14.4" x14ac:dyDescent="0.3">
      <c r="A25" s="477"/>
      <c r="B25" s="477"/>
      <c r="C25" s="477"/>
      <c r="D25" s="477"/>
      <c r="E25" s="477"/>
      <c r="F25" s="477"/>
      <c r="G25" s="477"/>
      <c r="H25" s="600"/>
      <c r="I25" s="600"/>
      <c r="J25" s="477"/>
      <c r="K25" s="477"/>
      <c r="L25" s="665">
        <f>L31+L33-L66+L109-L113</f>
        <v>0</v>
      </c>
      <c r="M25" s="665">
        <f>M31+M33-M66+M109-M113</f>
        <v>0</v>
      </c>
      <c r="N25" s="665">
        <f t="shared" ref="N25" si="0">N31+N33-N66+N109-N113</f>
        <v>0</v>
      </c>
      <c r="O25" s="479">
        <f>O31+O33-O66+O109-O113</f>
        <v>0</v>
      </c>
    </row>
    <row r="26" spans="1:17" s="356" customFormat="1" ht="15" thickBot="1" x14ac:dyDescent="0.35">
      <c r="H26" s="601"/>
      <c r="I26" s="601"/>
      <c r="L26" s="666">
        <f>'поступления 831, 841 26-28'!F10+'поступления 831, 841 26-28'!F23+'поступления 810 26-28'!H82+'прочие поступ строка 1980 (510)'!D21+'постуления 820 26-28'!H12-L33+'прочие поступ строка 1980 (510)'!E21</f>
        <v>0</v>
      </c>
      <c r="M26" s="666">
        <f>'поступления 831, 841 26-28'!H10+'поступления 831, 841 26-28'!J23+'поступления 810 26-28'!J82-M33</f>
        <v>0</v>
      </c>
      <c r="N26" s="666">
        <f>'поступления 831, 841 26-28'!I10+'поступления 831, 841 26-28'!L23+'поступления 810 26-28'!K82-N33</f>
        <v>0</v>
      </c>
      <c r="O26" s="478">
        <f>0-O33</f>
        <v>0</v>
      </c>
    </row>
    <row r="27" spans="1:17" s="356" customFormat="1" ht="14.4" x14ac:dyDescent="0.3">
      <c r="A27" s="1585" t="s">
        <v>183</v>
      </c>
      <c r="B27" s="1567" t="s">
        <v>184</v>
      </c>
      <c r="C27" s="1567" t="s">
        <v>441</v>
      </c>
      <c r="D27" s="1567" t="s">
        <v>442</v>
      </c>
      <c r="E27" s="1567" t="s">
        <v>443</v>
      </c>
      <c r="F27" s="1567" t="s">
        <v>444</v>
      </c>
      <c r="G27" s="1567" t="s">
        <v>445</v>
      </c>
      <c r="H27" s="1564" t="s">
        <v>332</v>
      </c>
      <c r="I27" s="1564" t="s">
        <v>446</v>
      </c>
      <c r="J27" s="1567" t="s">
        <v>447</v>
      </c>
      <c r="K27" s="1567" t="s">
        <v>448</v>
      </c>
      <c r="L27" s="1588" t="s">
        <v>656</v>
      </c>
      <c r="M27" s="1589"/>
      <c r="N27" s="1589"/>
      <c r="O27" s="1590"/>
      <c r="Q27" s="357"/>
    </row>
    <row r="28" spans="1:17" s="356" customFormat="1" ht="14.4" x14ac:dyDescent="0.3">
      <c r="A28" s="1586"/>
      <c r="B28" s="1568"/>
      <c r="C28" s="1568"/>
      <c r="D28" s="1568"/>
      <c r="E28" s="1568"/>
      <c r="F28" s="1568"/>
      <c r="G28" s="1568"/>
      <c r="H28" s="1565"/>
      <c r="I28" s="1565"/>
      <c r="J28" s="1568"/>
      <c r="K28" s="1568"/>
      <c r="L28" s="667" t="s">
        <v>746</v>
      </c>
      <c r="M28" s="667" t="s">
        <v>840</v>
      </c>
      <c r="N28" s="667" t="s">
        <v>884</v>
      </c>
      <c r="O28" s="1577" t="s">
        <v>323</v>
      </c>
      <c r="Q28" s="357"/>
    </row>
    <row r="29" spans="1:17" s="356" customFormat="1" ht="27.6" x14ac:dyDescent="0.3">
      <c r="A29" s="1587"/>
      <c r="B29" s="1569"/>
      <c r="C29" s="1569"/>
      <c r="D29" s="1569"/>
      <c r="E29" s="1569"/>
      <c r="F29" s="1569"/>
      <c r="G29" s="1569"/>
      <c r="H29" s="1566"/>
      <c r="I29" s="1566"/>
      <c r="J29" s="1569"/>
      <c r="K29" s="1569"/>
      <c r="L29" s="668" t="s">
        <v>291</v>
      </c>
      <c r="M29" s="668" t="s">
        <v>360</v>
      </c>
      <c r="N29" s="668" t="s">
        <v>361</v>
      </c>
      <c r="O29" s="1578"/>
      <c r="Q29" s="357"/>
    </row>
    <row r="30" spans="1:17" s="356" customFormat="1" ht="15" thickBot="1" x14ac:dyDescent="0.35">
      <c r="A30" s="447" t="s">
        <v>324</v>
      </c>
      <c r="B30" s="358" t="s">
        <v>325</v>
      </c>
      <c r="C30" s="358" t="s">
        <v>326</v>
      </c>
      <c r="D30" s="358" t="s">
        <v>327</v>
      </c>
      <c r="E30" s="358" t="s">
        <v>328</v>
      </c>
      <c r="F30" s="358" t="s">
        <v>329</v>
      </c>
      <c r="G30" s="358" t="s">
        <v>330</v>
      </c>
      <c r="H30" s="602" t="s">
        <v>331</v>
      </c>
      <c r="I30" s="602" t="s">
        <v>449</v>
      </c>
      <c r="J30" s="358" t="s">
        <v>450</v>
      </c>
      <c r="K30" s="358" t="s">
        <v>451</v>
      </c>
      <c r="L30" s="602" t="s">
        <v>452</v>
      </c>
      <c r="M30" s="602" t="s">
        <v>453</v>
      </c>
      <c r="N30" s="602" t="s">
        <v>434</v>
      </c>
      <c r="O30" s="448" t="s">
        <v>454</v>
      </c>
      <c r="Q30" s="357"/>
    </row>
    <row r="31" spans="1:17" s="356" customFormat="1" ht="14.4" x14ac:dyDescent="0.3">
      <c r="A31" s="449" t="s">
        <v>455</v>
      </c>
      <c r="B31" s="359" t="s">
        <v>292</v>
      </c>
      <c r="C31" s="360" t="s">
        <v>253</v>
      </c>
      <c r="D31" s="360" t="s">
        <v>253</v>
      </c>
      <c r="E31" s="360" t="s">
        <v>253</v>
      </c>
      <c r="F31" s="360" t="s">
        <v>253</v>
      </c>
      <c r="G31" s="360" t="s">
        <v>253</v>
      </c>
      <c r="H31" s="603" t="s">
        <v>253</v>
      </c>
      <c r="I31" s="603" t="s">
        <v>253</v>
      </c>
      <c r="J31" s="360" t="s">
        <v>253</v>
      </c>
      <c r="K31" s="360" t="s">
        <v>253</v>
      </c>
      <c r="L31" s="669">
        <f>'поступления 831, 841 26-28'!G10+'поступления 831, 841 26-28'!H23+'поступления 810 26-28'!I82</f>
        <v>0</v>
      </c>
      <c r="M31" s="669">
        <v>0</v>
      </c>
      <c r="N31" s="406">
        <v>0</v>
      </c>
      <c r="O31" s="361"/>
      <c r="Q31" s="357"/>
    </row>
    <row r="32" spans="1:17" s="356" customFormat="1" ht="14.4" x14ac:dyDescent="0.3">
      <c r="A32" s="450" t="s">
        <v>456</v>
      </c>
      <c r="B32" s="362" t="s">
        <v>293</v>
      </c>
      <c r="C32" s="363" t="s">
        <v>253</v>
      </c>
      <c r="D32" s="363" t="s">
        <v>253</v>
      </c>
      <c r="E32" s="363" t="s">
        <v>253</v>
      </c>
      <c r="F32" s="363" t="s">
        <v>253</v>
      </c>
      <c r="G32" s="363" t="s">
        <v>253</v>
      </c>
      <c r="H32" s="604" t="s">
        <v>253</v>
      </c>
      <c r="I32" s="604" t="s">
        <v>253</v>
      </c>
      <c r="J32" s="363" t="s">
        <v>253</v>
      </c>
      <c r="K32" s="363" t="s">
        <v>253</v>
      </c>
      <c r="L32" s="670">
        <v>0</v>
      </c>
      <c r="M32" s="670">
        <v>0</v>
      </c>
      <c r="N32" s="682">
        <v>0</v>
      </c>
      <c r="O32" s="364"/>
      <c r="Q32" s="357"/>
    </row>
    <row r="33" spans="1:21" s="356" customFormat="1" ht="14.4" x14ac:dyDescent="0.3">
      <c r="A33" s="451" t="s">
        <v>294</v>
      </c>
      <c r="B33" s="365" t="s">
        <v>295</v>
      </c>
      <c r="C33" s="366"/>
      <c r="D33" s="367" t="s">
        <v>457</v>
      </c>
      <c r="E33" s="367"/>
      <c r="F33" s="367" t="s">
        <v>341</v>
      </c>
      <c r="G33" s="367" t="s">
        <v>458</v>
      </c>
      <c r="H33" s="605" t="s">
        <v>341</v>
      </c>
      <c r="I33" s="605" t="s">
        <v>341</v>
      </c>
      <c r="J33" s="367" t="s">
        <v>459</v>
      </c>
      <c r="K33" s="367" t="s">
        <v>457</v>
      </c>
      <c r="L33" s="671">
        <f>L34+L39+L45+L48+L54+L58</f>
        <v>62643400</v>
      </c>
      <c r="M33" s="671">
        <f>M34+M39+M45+M48+M54+M58</f>
        <v>62918200</v>
      </c>
      <c r="N33" s="671">
        <f>N34+N39+N45+N48+N54+N58</f>
        <v>63180200</v>
      </c>
      <c r="O33" s="368">
        <v>0</v>
      </c>
      <c r="P33" s="357"/>
      <c r="Q33" s="357"/>
      <c r="R33" s="357"/>
    </row>
    <row r="34" spans="1:21" s="356" customFormat="1" ht="28.2" x14ac:dyDescent="0.3">
      <c r="A34" s="452" t="s">
        <v>296</v>
      </c>
      <c r="B34" s="369" t="s">
        <v>297</v>
      </c>
      <c r="C34" s="370" t="s">
        <v>384</v>
      </c>
      <c r="D34" s="371" t="s">
        <v>457</v>
      </c>
      <c r="E34" s="371"/>
      <c r="F34" s="371" t="s">
        <v>341</v>
      </c>
      <c r="G34" s="371" t="s">
        <v>325</v>
      </c>
      <c r="H34" s="606" t="s">
        <v>341</v>
      </c>
      <c r="I34" s="606" t="s">
        <v>384</v>
      </c>
      <c r="J34" s="371" t="s">
        <v>459</v>
      </c>
      <c r="K34" s="371" t="s">
        <v>457</v>
      </c>
      <c r="L34" s="672">
        <f>L36+L37+L38</f>
        <v>0</v>
      </c>
      <c r="M34" s="672">
        <f t="shared" ref="M34:O34" si="1">M36+M37+M38</f>
        <v>0</v>
      </c>
      <c r="N34" s="672">
        <f t="shared" si="1"/>
        <v>0</v>
      </c>
      <c r="O34" s="453">
        <f t="shared" si="1"/>
        <v>0</v>
      </c>
      <c r="P34" s="372"/>
    </row>
    <row r="35" spans="1:21" s="356" customFormat="1" ht="14.4" x14ac:dyDescent="0.3">
      <c r="A35" s="454" t="s">
        <v>203</v>
      </c>
      <c r="B35" s="373"/>
      <c r="C35" s="374"/>
      <c r="D35" s="375"/>
      <c r="E35" s="375"/>
      <c r="F35" s="375"/>
      <c r="G35" s="375"/>
      <c r="H35" s="607"/>
      <c r="I35" s="607"/>
      <c r="J35" s="375"/>
      <c r="K35" s="375"/>
      <c r="L35" s="673"/>
      <c r="M35" s="673"/>
      <c r="N35" s="683"/>
      <c r="O35" s="376"/>
      <c r="P35" s="372"/>
      <c r="R35" s="377"/>
      <c r="S35" s="377"/>
      <c r="T35" s="378"/>
      <c r="U35" s="379"/>
    </row>
    <row r="36" spans="1:21" s="356" customFormat="1" ht="30.6" customHeight="1" x14ac:dyDescent="0.3">
      <c r="A36" s="455" t="s">
        <v>460</v>
      </c>
      <c r="B36" s="380" t="s">
        <v>461</v>
      </c>
      <c r="C36" s="381" t="s">
        <v>384</v>
      </c>
      <c r="D36" s="382" t="s">
        <v>457</v>
      </c>
      <c r="E36" s="382" t="s">
        <v>462</v>
      </c>
      <c r="F36" s="382" t="s">
        <v>341</v>
      </c>
      <c r="G36" s="382" t="s">
        <v>325</v>
      </c>
      <c r="H36" s="608" t="s">
        <v>341</v>
      </c>
      <c r="I36" s="608" t="s">
        <v>384</v>
      </c>
      <c r="J36" s="382" t="s">
        <v>459</v>
      </c>
      <c r="K36" s="382" t="s">
        <v>457</v>
      </c>
      <c r="L36" s="674">
        <v>0</v>
      </c>
      <c r="M36" s="674">
        <v>0</v>
      </c>
      <c r="N36" s="684">
        <v>0</v>
      </c>
      <c r="O36" s="383">
        <v>0</v>
      </c>
      <c r="P36" s="372"/>
      <c r="R36" s="1582"/>
      <c r="S36" s="1582"/>
      <c r="T36" s="377"/>
      <c r="U36" s="379"/>
    </row>
    <row r="37" spans="1:21" s="356" customFormat="1" ht="31.95" customHeight="1" x14ac:dyDescent="0.3">
      <c r="A37" s="455" t="s">
        <v>463</v>
      </c>
      <c r="B37" s="380" t="s">
        <v>464</v>
      </c>
      <c r="C37" s="381" t="s">
        <v>384</v>
      </c>
      <c r="D37" s="382" t="s">
        <v>457</v>
      </c>
      <c r="E37" s="382" t="s">
        <v>462</v>
      </c>
      <c r="F37" s="382" t="s">
        <v>341</v>
      </c>
      <c r="G37" s="382" t="s">
        <v>325</v>
      </c>
      <c r="H37" s="608" t="s">
        <v>341</v>
      </c>
      <c r="I37" s="608" t="s">
        <v>384</v>
      </c>
      <c r="J37" s="382" t="s">
        <v>459</v>
      </c>
      <c r="K37" s="382" t="s">
        <v>457</v>
      </c>
      <c r="L37" s="674">
        <v>0</v>
      </c>
      <c r="M37" s="674">
        <v>0</v>
      </c>
      <c r="N37" s="684">
        <v>0</v>
      </c>
      <c r="O37" s="383">
        <v>0</v>
      </c>
      <c r="P37" s="372"/>
      <c r="R37" s="1582"/>
      <c r="S37" s="1582"/>
      <c r="T37" s="377"/>
      <c r="U37" s="379"/>
    </row>
    <row r="38" spans="1:21" s="356" customFormat="1" ht="30" customHeight="1" x14ac:dyDescent="0.3">
      <c r="A38" s="455" t="s">
        <v>465</v>
      </c>
      <c r="B38" s="380" t="s">
        <v>298</v>
      </c>
      <c r="C38" s="381" t="s">
        <v>384</v>
      </c>
      <c r="D38" s="382" t="s">
        <v>457</v>
      </c>
      <c r="E38" s="382" t="s">
        <v>462</v>
      </c>
      <c r="F38" s="382" t="s">
        <v>341</v>
      </c>
      <c r="G38" s="382" t="s">
        <v>325</v>
      </c>
      <c r="H38" s="610" t="s">
        <v>737</v>
      </c>
      <c r="I38" s="608" t="s">
        <v>384</v>
      </c>
      <c r="J38" s="382" t="s">
        <v>459</v>
      </c>
      <c r="K38" s="382" t="s">
        <v>457</v>
      </c>
      <c r="L38" s="406">
        <f>'Поступления всего'!C12</f>
        <v>0</v>
      </c>
      <c r="M38" s="406">
        <f>'Поступления всего'!D12</f>
        <v>0</v>
      </c>
      <c r="N38" s="406">
        <f>'Поступления всего'!E12</f>
        <v>0</v>
      </c>
      <c r="O38" s="383">
        <v>0</v>
      </c>
      <c r="P38" s="372"/>
      <c r="Q38" s="886"/>
      <c r="R38" s="377"/>
      <c r="S38" s="384"/>
      <c r="T38" s="377"/>
      <c r="U38" s="379"/>
    </row>
    <row r="39" spans="1:21" s="356" customFormat="1" ht="14.4" x14ac:dyDescent="0.3">
      <c r="A39" s="456" t="s">
        <v>299</v>
      </c>
      <c r="B39" s="385" t="s">
        <v>466</v>
      </c>
      <c r="C39" s="386" t="s">
        <v>300</v>
      </c>
      <c r="D39" s="387" t="s">
        <v>457</v>
      </c>
      <c r="E39" s="387"/>
      <c r="F39" s="387" t="s">
        <v>341</v>
      </c>
      <c r="G39" s="387" t="s">
        <v>458</v>
      </c>
      <c r="H39" s="609" t="s">
        <v>341</v>
      </c>
      <c r="I39" s="609" t="s">
        <v>300</v>
      </c>
      <c r="J39" s="387" t="s">
        <v>459</v>
      </c>
      <c r="K39" s="387" t="s">
        <v>457</v>
      </c>
      <c r="L39" s="685">
        <f>L41+L42+L43</f>
        <v>61083800</v>
      </c>
      <c r="M39" s="685">
        <f>M41+M42+M43</f>
        <v>61358600</v>
      </c>
      <c r="N39" s="685">
        <f>N41+N42+N43</f>
        <v>61620600</v>
      </c>
      <c r="O39" s="728">
        <v>0</v>
      </c>
      <c r="P39" s="372"/>
      <c r="R39" s="377"/>
      <c r="S39" s="384"/>
      <c r="T39" s="377"/>
      <c r="U39" s="379"/>
    </row>
    <row r="40" spans="1:21" s="356" customFormat="1" ht="11.1" customHeight="1" x14ac:dyDescent="0.3">
      <c r="A40" s="457" t="s">
        <v>203</v>
      </c>
      <c r="B40" s="373"/>
      <c r="C40" s="374"/>
      <c r="D40" s="375"/>
      <c r="E40" s="375"/>
      <c r="F40" s="375"/>
      <c r="G40" s="375"/>
      <c r="H40" s="607"/>
      <c r="I40" s="607"/>
      <c r="J40" s="375"/>
      <c r="K40" s="375"/>
      <c r="L40" s="682"/>
      <c r="M40" s="682"/>
      <c r="N40" s="682"/>
      <c r="O40" s="729"/>
      <c r="P40" s="372"/>
      <c r="R40" s="377"/>
      <c r="S40" s="384"/>
      <c r="T40" s="377"/>
      <c r="U40" s="379"/>
    </row>
    <row r="41" spans="1:21" s="372" customFormat="1" ht="42" x14ac:dyDescent="0.3">
      <c r="A41" s="458" t="s">
        <v>467</v>
      </c>
      <c r="B41" s="389" t="s">
        <v>468</v>
      </c>
      <c r="C41" s="390" t="s">
        <v>300</v>
      </c>
      <c r="D41" s="391" t="s">
        <v>457</v>
      </c>
      <c r="E41" s="391"/>
      <c r="F41" s="391" t="s">
        <v>341</v>
      </c>
      <c r="G41" s="391" t="s">
        <v>327</v>
      </c>
      <c r="H41" s="610" t="s">
        <v>469</v>
      </c>
      <c r="I41" s="610" t="s">
        <v>300</v>
      </c>
      <c r="J41" s="391" t="s">
        <v>470</v>
      </c>
      <c r="K41" s="391" t="s">
        <v>457</v>
      </c>
      <c r="L41" s="406">
        <f>'Поступления всего'!C29</f>
        <v>55740300</v>
      </c>
      <c r="M41" s="406">
        <f>'Поступления всего'!D29</f>
        <v>55740300</v>
      </c>
      <c r="N41" s="406">
        <f>'Поступления всего'!E29</f>
        <v>55740300</v>
      </c>
      <c r="O41" s="730">
        <v>0</v>
      </c>
      <c r="R41" s="393"/>
      <c r="S41" s="384"/>
      <c r="T41" s="377"/>
      <c r="U41" s="394"/>
    </row>
    <row r="42" spans="1:21" s="356" customFormat="1" ht="28.2" x14ac:dyDescent="0.3">
      <c r="A42" s="459" t="s">
        <v>768</v>
      </c>
      <c r="B42" s="362" t="s">
        <v>471</v>
      </c>
      <c r="C42" s="363" t="s">
        <v>300</v>
      </c>
      <c r="D42" s="395"/>
      <c r="E42" s="395"/>
      <c r="F42" s="395"/>
      <c r="G42" s="395"/>
      <c r="H42" s="611"/>
      <c r="I42" s="611"/>
      <c r="J42" s="395"/>
      <c r="K42" s="395"/>
      <c r="L42" s="406">
        <f>'поступления 810 26-28'!E67</f>
        <v>0</v>
      </c>
      <c r="M42" s="406">
        <f>'поступления 810 26-28'!F67</f>
        <v>0</v>
      </c>
      <c r="N42" s="406">
        <f>'поступления 810 26-28'!G67</f>
        <v>0</v>
      </c>
      <c r="O42" s="730">
        <v>0</v>
      </c>
      <c r="P42" s="372"/>
      <c r="R42" s="396"/>
      <c r="S42" s="397"/>
      <c r="T42" s="398"/>
      <c r="U42" s="379"/>
    </row>
    <row r="43" spans="1:21" s="372" customFormat="1" ht="14.4" x14ac:dyDescent="0.3">
      <c r="A43" s="460" t="s">
        <v>472</v>
      </c>
      <c r="B43" s="399" t="s">
        <v>473</v>
      </c>
      <c r="C43" s="400" t="s">
        <v>300</v>
      </c>
      <c r="D43" s="401" t="s">
        <v>457</v>
      </c>
      <c r="E43" s="401"/>
      <c r="F43" s="401" t="s">
        <v>341</v>
      </c>
      <c r="G43" s="401" t="s">
        <v>458</v>
      </c>
      <c r="H43" s="404" t="s">
        <v>469</v>
      </c>
      <c r="I43" s="404" t="s">
        <v>300</v>
      </c>
      <c r="J43" s="401" t="s">
        <v>459</v>
      </c>
      <c r="K43" s="401" t="s">
        <v>457</v>
      </c>
      <c r="L43" s="405">
        <f>'Поступления всего'!C30+'Поступления всего'!C31+'Поступления всего'!C32+'Поступления всего'!C33+'Поступления всего'!C34</f>
        <v>5343500</v>
      </c>
      <c r="M43" s="405">
        <f>'Поступления всего'!D30+'Поступления всего'!D31+'Поступления всего'!D32+'Поступления всего'!D33+'Поступления всего'!D34</f>
        <v>5618300</v>
      </c>
      <c r="N43" s="405">
        <f>'Поступления всего'!E30+'Поступления всего'!E31+'Поступления всего'!E32+'Поступления всего'!E33+'Поступления всего'!E34</f>
        <v>5880300</v>
      </c>
      <c r="O43" s="402">
        <v>0</v>
      </c>
    </row>
    <row r="44" spans="1:21" s="356" customFormat="1" ht="11.1" customHeight="1" x14ac:dyDescent="0.3">
      <c r="A44" s="459"/>
      <c r="B44" s="362"/>
      <c r="C44" s="363"/>
      <c r="D44" s="395"/>
      <c r="E44" s="395"/>
      <c r="F44" s="395"/>
      <c r="G44" s="395"/>
      <c r="H44" s="611"/>
      <c r="I44" s="611"/>
      <c r="J44" s="395"/>
      <c r="K44" s="395"/>
      <c r="L44" s="670"/>
      <c r="M44" s="670"/>
      <c r="N44" s="682"/>
      <c r="O44" s="364"/>
    </row>
    <row r="45" spans="1:21" s="356" customFormat="1" ht="14.4" x14ac:dyDescent="0.3">
      <c r="A45" s="456" t="s">
        <v>301</v>
      </c>
      <c r="B45" s="369" t="s">
        <v>474</v>
      </c>
      <c r="C45" s="370" t="s">
        <v>475</v>
      </c>
      <c r="D45" s="371" t="s">
        <v>457</v>
      </c>
      <c r="E45" s="371"/>
      <c r="F45" s="371" t="s">
        <v>341</v>
      </c>
      <c r="G45" s="371" t="s">
        <v>325</v>
      </c>
      <c r="H45" s="606" t="s">
        <v>341</v>
      </c>
      <c r="I45" s="606" t="s">
        <v>475</v>
      </c>
      <c r="J45" s="371" t="s">
        <v>459</v>
      </c>
      <c r="K45" s="371" t="s">
        <v>457</v>
      </c>
      <c r="L45" s="672">
        <f>L47</f>
        <v>0</v>
      </c>
      <c r="M45" s="672">
        <f t="shared" ref="M45:N45" si="2">M47</f>
        <v>0</v>
      </c>
      <c r="N45" s="672">
        <f t="shared" si="2"/>
        <v>0</v>
      </c>
      <c r="O45" s="403">
        <v>0</v>
      </c>
    </row>
    <row r="46" spans="1:21" s="356" customFormat="1" ht="11.1" customHeight="1" x14ac:dyDescent="0.3">
      <c r="A46" s="454" t="s">
        <v>203</v>
      </c>
      <c r="B46" s="373"/>
      <c r="C46" s="374"/>
      <c r="D46" s="375"/>
      <c r="E46" s="375"/>
      <c r="F46" s="375"/>
      <c r="G46" s="375"/>
      <c r="H46" s="607"/>
      <c r="I46" s="607"/>
      <c r="J46" s="375"/>
      <c r="K46" s="375"/>
      <c r="L46" s="673"/>
      <c r="M46" s="673"/>
      <c r="N46" s="683"/>
      <c r="O46" s="376"/>
    </row>
    <row r="47" spans="1:21" s="356" customFormat="1" ht="15.6" customHeight="1" x14ac:dyDescent="0.3">
      <c r="A47" s="455" t="s">
        <v>476</v>
      </c>
      <c r="B47" s="380" t="s">
        <v>474</v>
      </c>
      <c r="C47" s="381" t="s">
        <v>475</v>
      </c>
      <c r="D47" s="382" t="s">
        <v>457</v>
      </c>
      <c r="E47" s="382" t="s">
        <v>462</v>
      </c>
      <c r="F47" s="382" t="s">
        <v>341</v>
      </c>
      <c r="G47" s="382" t="s">
        <v>325</v>
      </c>
      <c r="H47" s="610" t="s">
        <v>735</v>
      </c>
      <c r="I47" s="608" t="s">
        <v>475</v>
      </c>
      <c r="J47" s="382" t="s">
        <v>459</v>
      </c>
      <c r="K47" s="382" t="s">
        <v>457</v>
      </c>
      <c r="L47" s="727">
        <f>'Поступления всего'!C42</f>
        <v>0</v>
      </c>
      <c r="M47" s="727">
        <f>'Поступления всего'!D42</f>
        <v>0</v>
      </c>
      <c r="N47" s="731">
        <f>'Поступления всего'!E42</f>
        <v>0</v>
      </c>
      <c r="O47" s="383">
        <v>0</v>
      </c>
    </row>
    <row r="48" spans="1:21" s="356" customFormat="1" ht="14.4" x14ac:dyDescent="0.3">
      <c r="A48" s="456" t="s">
        <v>302</v>
      </c>
      <c r="B48" s="369" t="s">
        <v>477</v>
      </c>
      <c r="C48" s="370" t="s">
        <v>304</v>
      </c>
      <c r="D48" s="371" t="s">
        <v>457</v>
      </c>
      <c r="E48" s="371"/>
      <c r="F48" s="371" t="s">
        <v>341</v>
      </c>
      <c r="G48" s="371" t="s">
        <v>458</v>
      </c>
      <c r="H48" s="606" t="s">
        <v>341</v>
      </c>
      <c r="I48" s="606" t="s">
        <v>304</v>
      </c>
      <c r="J48" s="371" t="s">
        <v>459</v>
      </c>
      <c r="K48" s="371" t="s">
        <v>457</v>
      </c>
      <c r="L48" s="672">
        <f>L50+L51+L53+L52</f>
        <v>1559600</v>
      </c>
      <c r="M48" s="672">
        <f t="shared" ref="M48:N48" si="3">M50+M51+M53+M52</f>
        <v>1559600</v>
      </c>
      <c r="N48" s="672">
        <f t="shared" si="3"/>
        <v>1559600</v>
      </c>
      <c r="O48" s="403">
        <v>0</v>
      </c>
    </row>
    <row r="49" spans="1:18" s="356" customFormat="1" ht="11.1" customHeight="1" x14ac:dyDescent="0.3">
      <c r="A49" s="457" t="s">
        <v>203</v>
      </c>
      <c r="B49" s="373"/>
      <c r="C49" s="374"/>
      <c r="D49" s="375"/>
      <c r="E49" s="375"/>
      <c r="F49" s="375"/>
      <c r="G49" s="375"/>
      <c r="H49" s="607"/>
      <c r="I49" s="607"/>
      <c r="J49" s="375"/>
      <c r="K49" s="375"/>
      <c r="L49" s="673"/>
      <c r="M49" s="673"/>
      <c r="N49" s="683"/>
      <c r="O49" s="376"/>
    </row>
    <row r="50" spans="1:18" s="372" customFormat="1" ht="14.4" x14ac:dyDescent="0.3">
      <c r="A50" s="458" t="s">
        <v>277</v>
      </c>
      <c r="B50" s="389" t="s">
        <v>478</v>
      </c>
      <c r="C50" s="390" t="s">
        <v>304</v>
      </c>
      <c r="D50" s="391" t="s">
        <v>457</v>
      </c>
      <c r="E50" s="391"/>
      <c r="F50" s="391" t="s">
        <v>341</v>
      </c>
      <c r="G50" s="391" t="s">
        <v>328</v>
      </c>
      <c r="H50" s="610" t="s">
        <v>738</v>
      </c>
      <c r="I50" s="610" t="s">
        <v>304</v>
      </c>
      <c r="J50" s="391" t="s">
        <v>470</v>
      </c>
      <c r="K50" s="391" t="s">
        <v>457</v>
      </c>
      <c r="L50" s="727">
        <f>'Поступления всего'!C66</f>
        <v>1559600</v>
      </c>
      <c r="M50" s="727">
        <f>'Поступления всего'!D66</f>
        <v>1559600</v>
      </c>
      <c r="N50" s="731">
        <f>'Поступления всего'!E66</f>
        <v>1559600</v>
      </c>
      <c r="O50" s="392">
        <v>0</v>
      </c>
    </row>
    <row r="51" spans="1:18" s="354" customFormat="1" ht="14.4" x14ac:dyDescent="0.3">
      <c r="A51" s="474" t="s">
        <v>623</v>
      </c>
      <c r="B51" s="475" t="s">
        <v>478</v>
      </c>
      <c r="C51" s="476" t="s">
        <v>304</v>
      </c>
      <c r="D51" s="404" t="s">
        <v>457</v>
      </c>
      <c r="E51" s="404"/>
      <c r="F51" s="404" t="s">
        <v>341</v>
      </c>
      <c r="G51" s="404" t="s">
        <v>328</v>
      </c>
      <c r="H51" s="404" t="s">
        <v>739</v>
      </c>
      <c r="I51" s="404" t="s">
        <v>304</v>
      </c>
      <c r="J51" s="404" t="s">
        <v>459</v>
      </c>
      <c r="K51" s="404" t="s">
        <v>457</v>
      </c>
      <c r="L51" s="405">
        <f>'Поступления всего'!C68</f>
        <v>0</v>
      </c>
      <c r="M51" s="405">
        <f>'Поступления всего'!D68</f>
        <v>0</v>
      </c>
      <c r="N51" s="406">
        <f>'Поступления всего'!E68</f>
        <v>0</v>
      </c>
      <c r="O51" s="407">
        <v>0</v>
      </c>
    </row>
    <row r="52" spans="1:18" s="354" customFormat="1" ht="14.4" x14ac:dyDescent="0.3">
      <c r="A52" s="461" t="s">
        <v>278</v>
      </c>
      <c r="B52" s="408" t="s">
        <v>479</v>
      </c>
      <c r="C52" s="409" t="s">
        <v>304</v>
      </c>
      <c r="D52" s="410" t="s">
        <v>457</v>
      </c>
      <c r="E52" s="410"/>
      <c r="F52" s="410" t="s">
        <v>341</v>
      </c>
      <c r="G52" s="410" t="s">
        <v>329</v>
      </c>
      <c r="H52" s="612" t="s">
        <v>341</v>
      </c>
      <c r="I52" s="612" t="s">
        <v>304</v>
      </c>
      <c r="J52" s="410" t="s">
        <v>459</v>
      </c>
      <c r="K52" s="410" t="s">
        <v>457</v>
      </c>
      <c r="L52" s="405"/>
      <c r="M52" s="405"/>
      <c r="N52" s="406"/>
      <c r="O52" s="407"/>
    </row>
    <row r="53" spans="1:18" s="356" customFormat="1" ht="14.4" x14ac:dyDescent="0.3">
      <c r="A53" s="462" t="s">
        <v>472</v>
      </c>
      <c r="B53" s="362" t="s">
        <v>480</v>
      </c>
      <c r="C53" s="363" t="s">
        <v>304</v>
      </c>
      <c r="D53" s="395" t="s">
        <v>457</v>
      </c>
      <c r="E53" s="395"/>
      <c r="F53" s="395" t="s">
        <v>341</v>
      </c>
      <c r="G53" s="395" t="s">
        <v>325</v>
      </c>
      <c r="H53" s="404" t="s">
        <v>736</v>
      </c>
      <c r="I53" s="611" t="s">
        <v>304</v>
      </c>
      <c r="J53" s="395" t="s">
        <v>459</v>
      </c>
      <c r="K53" s="395" t="s">
        <v>457</v>
      </c>
      <c r="L53" s="405">
        <f>'Поступления всего'!C57</f>
        <v>0</v>
      </c>
      <c r="M53" s="405">
        <f>'Поступления всего'!D57</f>
        <v>0</v>
      </c>
      <c r="N53" s="406">
        <f>'Поступления всего'!E57</f>
        <v>0</v>
      </c>
      <c r="O53" s="364">
        <v>0</v>
      </c>
    </row>
    <row r="54" spans="1:18" s="356" customFormat="1" ht="14.4" x14ac:dyDescent="0.3">
      <c r="A54" s="456" t="s">
        <v>303</v>
      </c>
      <c r="B54" s="369" t="s">
        <v>481</v>
      </c>
      <c r="C54" s="370" t="s">
        <v>365</v>
      </c>
      <c r="D54" s="371" t="s">
        <v>457</v>
      </c>
      <c r="E54" s="371"/>
      <c r="F54" s="371" t="s">
        <v>341</v>
      </c>
      <c r="G54" s="371" t="s">
        <v>458</v>
      </c>
      <c r="H54" s="606" t="s">
        <v>341</v>
      </c>
      <c r="I54" s="606" t="s">
        <v>365</v>
      </c>
      <c r="J54" s="371" t="s">
        <v>459</v>
      </c>
      <c r="K54" s="371" t="s">
        <v>457</v>
      </c>
      <c r="L54" s="672">
        <f>L56</f>
        <v>0</v>
      </c>
      <c r="M54" s="672">
        <f t="shared" ref="M54:N54" si="4">M56</f>
        <v>0</v>
      </c>
      <c r="N54" s="685">
        <f t="shared" si="4"/>
        <v>0</v>
      </c>
      <c r="O54" s="403">
        <v>0</v>
      </c>
    </row>
    <row r="55" spans="1:18" s="356" customFormat="1" ht="21" customHeight="1" x14ac:dyDescent="0.3">
      <c r="A55" s="457" t="s">
        <v>203</v>
      </c>
      <c r="B55" s="373"/>
      <c r="C55" s="374"/>
      <c r="D55" s="375"/>
      <c r="E55" s="375"/>
      <c r="F55" s="375"/>
      <c r="G55" s="375"/>
      <c r="H55" s="607"/>
      <c r="I55" s="607"/>
      <c r="J55" s="375"/>
      <c r="K55" s="375"/>
      <c r="L55" s="673"/>
      <c r="M55" s="673"/>
      <c r="N55" s="683"/>
      <c r="O55" s="376"/>
    </row>
    <row r="56" spans="1:18" s="356" customFormat="1" ht="15.6" customHeight="1" x14ac:dyDescent="0.3">
      <c r="A56" s="463" t="s">
        <v>482</v>
      </c>
      <c r="B56" s="385" t="s">
        <v>481</v>
      </c>
      <c r="C56" s="386" t="s">
        <v>365</v>
      </c>
      <c r="D56" s="387" t="s">
        <v>457</v>
      </c>
      <c r="E56" s="387" t="s">
        <v>483</v>
      </c>
      <c r="F56" s="387" t="s">
        <v>341</v>
      </c>
      <c r="G56" s="387" t="s">
        <v>458</v>
      </c>
      <c r="H56" s="609" t="s">
        <v>341</v>
      </c>
      <c r="I56" s="609" t="s">
        <v>365</v>
      </c>
      <c r="J56" s="387" t="s">
        <v>459</v>
      </c>
      <c r="K56" s="387" t="s">
        <v>457</v>
      </c>
      <c r="L56" s="675">
        <f>L57</f>
        <v>0</v>
      </c>
      <c r="M56" s="675">
        <f t="shared" ref="M56:N56" si="5">M57</f>
        <v>0</v>
      </c>
      <c r="N56" s="686">
        <f t="shared" si="5"/>
        <v>0</v>
      </c>
      <c r="O56" s="388">
        <v>0</v>
      </c>
    </row>
    <row r="57" spans="1:18" s="737" customFormat="1" ht="18.600000000000001" customHeight="1" x14ac:dyDescent="0.3">
      <c r="A57" s="736"/>
      <c r="B57" s="362"/>
      <c r="C57" s="363"/>
      <c r="D57" s="395"/>
      <c r="E57" s="395"/>
      <c r="F57" s="395"/>
      <c r="G57" s="395"/>
      <c r="H57" s="611"/>
      <c r="I57" s="611"/>
      <c r="J57" s="395"/>
      <c r="K57" s="395"/>
      <c r="L57" s="670"/>
      <c r="M57" s="670"/>
      <c r="N57" s="684"/>
      <c r="O57" s="364"/>
    </row>
    <row r="58" spans="1:18" s="356" customFormat="1" ht="14.4" x14ac:dyDescent="0.3">
      <c r="A58" s="456" t="s">
        <v>387</v>
      </c>
      <c r="B58" s="369" t="s">
        <v>484</v>
      </c>
      <c r="C58" s="370"/>
      <c r="D58" s="371"/>
      <c r="E58" s="371"/>
      <c r="F58" s="371"/>
      <c r="G58" s="371"/>
      <c r="H58" s="606"/>
      <c r="I58" s="606"/>
      <c r="J58" s="371"/>
      <c r="K58" s="371"/>
      <c r="L58" s="672">
        <f>L60</f>
        <v>0</v>
      </c>
      <c r="M58" s="672">
        <f t="shared" ref="M58:N58" si="6">M60</f>
        <v>0</v>
      </c>
      <c r="N58" s="685">
        <f t="shared" si="6"/>
        <v>0</v>
      </c>
      <c r="O58" s="403">
        <v>0</v>
      </c>
    </row>
    <row r="59" spans="1:18" s="356" customFormat="1" ht="11.1" customHeight="1" x14ac:dyDescent="0.3">
      <c r="A59" s="457" t="s">
        <v>203</v>
      </c>
      <c r="B59" s="373"/>
      <c r="C59" s="374"/>
      <c r="D59" s="375"/>
      <c r="E59" s="375"/>
      <c r="F59" s="375"/>
      <c r="G59" s="375"/>
      <c r="H59" s="607"/>
      <c r="I59" s="607"/>
      <c r="J59" s="375"/>
      <c r="K59" s="375"/>
      <c r="L59" s="673"/>
      <c r="M59" s="673"/>
      <c r="N59" s="683"/>
      <c r="O59" s="376"/>
    </row>
    <row r="60" spans="1:18" s="356" customFormat="1" ht="14.4" x14ac:dyDescent="0.3">
      <c r="A60" s="732" t="s">
        <v>485</v>
      </c>
      <c r="B60" s="399" t="s">
        <v>486</v>
      </c>
      <c r="C60" s="363" t="s">
        <v>253</v>
      </c>
      <c r="D60" s="395" t="s">
        <v>457</v>
      </c>
      <c r="E60" s="395"/>
      <c r="F60" s="395" t="s">
        <v>341</v>
      </c>
      <c r="G60" s="395" t="s">
        <v>458</v>
      </c>
      <c r="H60" s="611" t="s">
        <v>341</v>
      </c>
      <c r="I60" s="611" t="s">
        <v>306</v>
      </c>
      <c r="J60" s="395" t="s">
        <v>459</v>
      </c>
      <c r="K60" s="395" t="s">
        <v>457</v>
      </c>
      <c r="L60" s="670">
        <f>L62</f>
        <v>0</v>
      </c>
      <c r="M60" s="670">
        <f>M62</f>
        <v>0</v>
      </c>
      <c r="N60" s="682">
        <f t="shared" ref="N60" si="7">N62</f>
        <v>0</v>
      </c>
      <c r="O60" s="364">
        <v>0</v>
      </c>
    </row>
    <row r="61" spans="1:18" s="356" customFormat="1" ht="12.75" customHeight="1" x14ac:dyDescent="0.3">
      <c r="A61" s="733" t="s">
        <v>235</v>
      </c>
      <c r="B61" s="734"/>
      <c r="C61" s="374"/>
      <c r="D61" s="375"/>
      <c r="E61" s="375"/>
      <c r="F61" s="375"/>
      <c r="G61" s="375"/>
      <c r="H61" s="607"/>
      <c r="I61" s="607"/>
      <c r="J61" s="375"/>
      <c r="K61" s="375"/>
      <c r="L61" s="673"/>
      <c r="M61" s="673"/>
      <c r="N61" s="683"/>
      <c r="O61" s="376"/>
    </row>
    <row r="62" spans="1:18" s="356" customFormat="1" ht="28.2" x14ac:dyDescent="0.3">
      <c r="A62" s="458" t="s">
        <v>305</v>
      </c>
      <c r="B62" s="389" t="s">
        <v>487</v>
      </c>
      <c r="C62" s="381" t="s">
        <v>306</v>
      </c>
      <c r="D62" s="382" t="s">
        <v>457</v>
      </c>
      <c r="E62" s="382"/>
      <c r="F62" s="382" t="s">
        <v>341</v>
      </c>
      <c r="G62" s="382" t="s">
        <v>458</v>
      </c>
      <c r="H62" s="608" t="s">
        <v>341</v>
      </c>
      <c r="I62" s="608" t="s">
        <v>306</v>
      </c>
      <c r="J62" s="382" t="s">
        <v>459</v>
      </c>
      <c r="K62" s="382" t="s">
        <v>457</v>
      </c>
      <c r="L62" s="727">
        <f>'прочие поступ строка 1980 (510)'!C21+'прочие поступ строка 1980 (510)'!D21+'прочие поступ строка 1980 (510)'!E21+'прочие поступ строка 1980 (510)'!F21</f>
        <v>0</v>
      </c>
      <c r="M62" s="727">
        <f>'прочие поступ строка 1980 (510)'!G21+'прочие поступ строка 1980 (510)'!H21+'прочие поступ строка 1980 (510)'!I21+'прочие поступ строка 1980 (510)'!J21</f>
        <v>0</v>
      </c>
      <c r="N62" s="731">
        <f>'прочие поступ строка 1980 (510)'!K21+'прочие поступ строка 1980 (510)'!L21+'прочие поступ строка 1980 (510)'!M21+'прочие поступ строка 1980 (510)'!N21</f>
        <v>0</v>
      </c>
      <c r="O62" s="383">
        <v>0</v>
      </c>
      <c r="P62" s="372"/>
      <c r="Q62" s="372"/>
      <c r="R62" s="372"/>
    </row>
    <row r="63" spans="1:18" s="356" customFormat="1" ht="16.2" customHeight="1" x14ac:dyDescent="0.3">
      <c r="A63" s="464" t="s">
        <v>488</v>
      </c>
      <c r="B63" s="411"/>
      <c r="C63" s="395"/>
      <c r="D63" s="395" t="s">
        <v>457</v>
      </c>
      <c r="E63" s="395" t="s">
        <v>483</v>
      </c>
      <c r="F63" s="395" t="s">
        <v>341</v>
      </c>
      <c r="G63" s="395" t="s">
        <v>458</v>
      </c>
      <c r="H63" s="611" t="s">
        <v>341</v>
      </c>
      <c r="I63" s="611" t="s">
        <v>341</v>
      </c>
      <c r="J63" s="395" t="s">
        <v>459</v>
      </c>
      <c r="K63" s="395" t="s">
        <v>457</v>
      </c>
      <c r="L63" s="676">
        <v>0</v>
      </c>
      <c r="M63" s="676">
        <v>0</v>
      </c>
      <c r="N63" s="687">
        <v>0</v>
      </c>
      <c r="O63" s="364">
        <v>0</v>
      </c>
      <c r="P63" s="372"/>
      <c r="Q63" s="372"/>
      <c r="R63" s="372"/>
    </row>
    <row r="64" spans="1:18" s="356" customFormat="1" ht="16.2" customHeight="1" x14ac:dyDescent="0.3">
      <c r="A64" s="464" t="s">
        <v>489</v>
      </c>
      <c r="B64" s="411" t="s">
        <v>295</v>
      </c>
      <c r="C64" s="395" t="s">
        <v>341</v>
      </c>
      <c r="D64" s="395" t="s">
        <v>457</v>
      </c>
      <c r="E64" s="395" t="s">
        <v>483</v>
      </c>
      <c r="F64" s="395" t="s">
        <v>341</v>
      </c>
      <c r="G64" s="395" t="s">
        <v>458</v>
      </c>
      <c r="H64" s="611" t="s">
        <v>341</v>
      </c>
      <c r="I64" s="611" t="s">
        <v>341</v>
      </c>
      <c r="J64" s="395" t="s">
        <v>459</v>
      </c>
      <c r="K64" s="395" t="s">
        <v>457</v>
      </c>
      <c r="L64" s="676">
        <v>0</v>
      </c>
      <c r="M64" s="676">
        <v>0</v>
      </c>
      <c r="N64" s="687">
        <v>0</v>
      </c>
      <c r="O64" s="364">
        <v>0</v>
      </c>
      <c r="P64" s="372"/>
      <c r="Q64" s="372"/>
      <c r="R64" s="372"/>
    </row>
    <row r="65" spans="1:18" s="356" customFormat="1" ht="15" customHeight="1" x14ac:dyDescent="0.3">
      <c r="A65" s="464" t="s">
        <v>490</v>
      </c>
      <c r="B65" s="411" t="s">
        <v>484</v>
      </c>
      <c r="C65" s="395" t="s">
        <v>341</v>
      </c>
      <c r="D65" s="395" t="s">
        <v>457</v>
      </c>
      <c r="E65" s="395" t="s">
        <v>483</v>
      </c>
      <c r="F65" s="395" t="s">
        <v>341</v>
      </c>
      <c r="G65" s="395" t="s">
        <v>458</v>
      </c>
      <c r="H65" s="611" t="s">
        <v>341</v>
      </c>
      <c r="I65" s="611" t="s">
        <v>341</v>
      </c>
      <c r="J65" s="395" t="s">
        <v>459</v>
      </c>
      <c r="K65" s="395" t="s">
        <v>457</v>
      </c>
      <c r="L65" s="676">
        <v>0</v>
      </c>
      <c r="M65" s="676">
        <v>0</v>
      </c>
      <c r="N65" s="687">
        <v>0</v>
      </c>
      <c r="O65" s="364">
        <v>0</v>
      </c>
      <c r="P65" s="372"/>
      <c r="Q65" s="372"/>
      <c r="R65" s="372"/>
    </row>
    <row r="66" spans="1:18" s="372" customFormat="1" ht="14.4" x14ac:dyDescent="0.3">
      <c r="A66" s="451" t="s">
        <v>307</v>
      </c>
      <c r="B66" s="365" t="s">
        <v>491</v>
      </c>
      <c r="C66" s="366" t="s">
        <v>253</v>
      </c>
      <c r="D66" s="367" t="s">
        <v>457</v>
      </c>
      <c r="E66" s="367"/>
      <c r="F66" s="367" t="s">
        <v>341</v>
      </c>
      <c r="G66" s="367" t="s">
        <v>458</v>
      </c>
      <c r="H66" s="605" t="s">
        <v>341</v>
      </c>
      <c r="I66" s="605"/>
      <c r="J66" s="367" t="s">
        <v>459</v>
      </c>
      <c r="K66" s="367" t="s">
        <v>457</v>
      </c>
      <c r="L66" s="671">
        <f>L67+L79+L86+L90+L97+L99</f>
        <v>62643400</v>
      </c>
      <c r="M66" s="671">
        <f>M67+M79+M86+M90+M97+M99+M109+M113</f>
        <v>62918200</v>
      </c>
      <c r="N66" s="688">
        <f>N67+N79+N86+N90+N97+N99+N109+N113</f>
        <v>63180200</v>
      </c>
      <c r="O66" s="368">
        <v>0</v>
      </c>
      <c r="P66" s="357"/>
      <c r="Q66" s="357"/>
    </row>
    <row r="67" spans="1:18" s="372" customFormat="1" ht="28.2" x14ac:dyDescent="0.3">
      <c r="A67" s="465" t="s">
        <v>492</v>
      </c>
      <c r="B67" s="369" t="s">
        <v>493</v>
      </c>
      <c r="C67" s="370" t="s">
        <v>253</v>
      </c>
      <c r="D67" s="371" t="s">
        <v>457</v>
      </c>
      <c r="E67" s="371"/>
      <c r="F67" s="371" t="s">
        <v>341</v>
      </c>
      <c r="G67" s="371" t="s">
        <v>458</v>
      </c>
      <c r="H67" s="606" t="s">
        <v>341</v>
      </c>
      <c r="I67" s="606"/>
      <c r="J67" s="371" t="s">
        <v>459</v>
      </c>
      <c r="K67" s="371" t="s">
        <v>457</v>
      </c>
      <c r="L67" s="672">
        <f>L68+L69+L70+L71</f>
        <v>49401200</v>
      </c>
      <c r="M67" s="672">
        <f>M68+M69+M70+M71</f>
        <v>49415800</v>
      </c>
      <c r="N67" s="685">
        <f>N68+N69+N70+N71</f>
        <v>49495600</v>
      </c>
      <c r="O67" s="403">
        <v>0</v>
      </c>
      <c r="P67" s="357"/>
    </row>
    <row r="68" spans="1:18" s="356" customFormat="1" ht="28.2" x14ac:dyDescent="0.3">
      <c r="A68" s="460" t="s">
        <v>494</v>
      </c>
      <c r="B68" s="399" t="s">
        <v>495</v>
      </c>
      <c r="C68" s="400" t="s">
        <v>496</v>
      </c>
      <c r="D68" s="401" t="s">
        <v>457</v>
      </c>
      <c r="E68" s="401"/>
      <c r="F68" s="401" t="s">
        <v>336</v>
      </c>
      <c r="G68" s="401" t="s">
        <v>327</v>
      </c>
      <c r="H68" s="404" t="s">
        <v>341</v>
      </c>
      <c r="I68" s="404"/>
      <c r="J68" s="401" t="s">
        <v>470</v>
      </c>
      <c r="K68" s="401" t="s">
        <v>457</v>
      </c>
      <c r="L68" s="405">
        <f>КВР!C11+КВР!D11+КВР!E11+КВР!F11</f>
        <v>37097600</v>
      </c>
      <c r="M68" s="405">
        <f>КВР!G11+КВР!H11+КВР!I11+КВР!J11</f>
        <v>37097600</v>
      </c>
      <c r="N68" s="406">
        <f>КВР!K11+КВР!L11+КВР!M11+КВР!N11</f>
        <v>37097600</v>
      </c>
      <c r="O68" s="402">
        <v>0</v>
      </c>
      <c r="P68" s="357"/>
      <c r="Q68" s="357"/>
      <c r="R68" s="357"/>
    </row>
    <row r="69" spans="1:18" s="356" customFormat="1" ht="14.4" x14ac:dyDescent="0.3">
      <c r="A69" s="462" t="s">
        <v>308</v>
      </c>
      <c r="B69" s="362" t="s">
        <v>497</v>
      </c>
      <c r="C69" s="363" t="s">
        <v>498</v>
      </c>
      <c r="D69" s="395" t="s">
        <v>457</v>
      </c>
      <c r="E69" s="395"/>
      <c r="F69" s="395" t="s">
        <v>341</v>
      </c>
      <c r="G69" s="395" t="s">
        <v>458</v>
      </c>
      <c r="H69" s="611" t="s">
        <v>341</v>
      </c>
      <c r="I69" s="611"/>
      <c r="J69" s="395" t="s">
        <v>470</v>
      </c>
      <c r="K69" s="395" t="s">
        <v>457</v>
      </c>
      <c r="L69" s="405">
        <f>КВР!C18+КВР!D18+КВР!E18+КВР!F18</f>
        <v>1057900</v>
      </c>
      <c r="M69" s="405">
        <f>КВР!G18+КВР!H18+КВР!I18+КВР!J18</f>
        <v>1072500</v>
      </c>
      <c r="N69" s="406">
        <f>КВР!K18+КВР!L18+КВР!M18+КВР!N18</f>
        <v>1072500</v>
      </c>
      <c r="O69" s="364">
        <v>0</v>
      </c>
      <c r="P69" s="357"/>
      <c r="Q69" s="357"/>
      <c r="R69" s="372"/>
    </row>
    <row r="70" spans="1:18" s="356" customFormat="1" ht="28.2" x14ac:dyDescent="0.3">
      <c r="A70" s="459" t="s">
        <v>309</v>
      </c>
      <c r="B70" s="362" t="s">
        <v>499</v>
      </c>
      <c r="C70" s="363" t="s">
        <v>500</v>
      </c>
      <c r="D70" s="395" t="s">
        <v>457</v>
      </c>
      <c r="E70" s="395"/>
      <c r="F70" s="395" t="s">
        <v>229</v>
      </c>
      <c r="G70" s="395" t="s">
        <v>458</v>
      </c>
      <c r="H70" s="611" t="s">
        <v>333</v>
      </c>
      <c r="I70" s="611"/>
      <c r="J70" s="395" t="s">
        <v>470</v>
      </c>
      <c r="K70" s="395" t="s">
        <v>457</v>
      </c>
      <c r="L70" s="405">
        <f>КВР!C29+КВР!D29+КВР!E29+КВР!F29</f>
        <v>25200</v>
      </c>
      <c r="M70" s="405">
        <f>КВР!G29+КВР!H29+КВР!I29+КВР!J29</f>
        <v>25200</v>
      </c>
      <c r="N70" s="406">
        <f>КВР!K29+КВР!L29+КВР!M29+КВР!N29</f>
        <v>105000</v>
      </c>
      <c r="O70" s="364">
        <v>0</v>
      </c>
      <c r="P70" s="372"/>
      <c r="Q70" s="372"/>
      <c r="R70" s="357"/>
    </row>
    <row r="71" spans="1:18" s="356" customFormat="1" ht="32.4" customHeight="1" x14ac:dyDescent="0.3">
      <c r="A71" s="466" t="s">
        <v>310</v>
      </c>
      <c r="B71" s="412" t="s">
        <v>501</v>
      </c>
      <c r="C71" s="413" t="s">
        <v>502</v>
      </c>
      <c r="D71" s="414" t="s">
        <v>457</v>
      </c>
      <c r="E71" s="414"/>
      <c r="F71" s="414" t="s">
        <v>341</v>
      </c>
      <c r="G71" s="414" t="s">
        <v>458</v>
      </c>
      <c r="H71" s="613" t="s">
        <v>341</v>
      </c>
      <c r="I71" s="613"/>
      <c r="J71" s="414" t="s">
        <v>459</v>
      </c>
      <c r="K71" s="414" t="s">
        <v>457</v>
      </c>
      <c r="L71" s="677">
        <f>L72+L73</f>
        <v>11220500</v>
      </c>
      <c r="M71" s="677">
        <f>M72+M73</f>
        <v>11220500</v>
      </c>
      <c r="N71" s="689">
        <f>N72+N73</f>
        <v>11220500</v>
      </c>
      <c r="O71" s="415">
        <f>O72+O73</f>
        <v>0</v>
      </c>
      <c r="P71" s="357"/>
      <c r="Q71" s="372"/>
      <c r="R71" s="357"/>
    </row>
    <row r="72" spans="1:18" s="356" customFormat="1" ht="28.2" x14ac:dyDescent="0.3">
      <c r="A72" s="467" t="s">
        <v>503</v>
      </c>
      <c r="B72" s="362" t="s">
        <v>504</v>
      </c>
      <c r="C72" s="363" t="s">
        <v>502</v>
      </c>
      <c r="D72" s="395" t="s">
        <v>457</v>
      </c>
      <c r="E72" s="395"/>
      <c r="F72" s="395" t="s">
        <v>335</v>
      </c>
      <c r="G72" s="395" t="s">
        <v>327</v>
      </c>
      <c r="H72" s="611" t="s">
        <v>334</v>
      </c>
      <c r="I72" s="611"/>
      <c r="J72" s="395" t="s">
        <v>470</v>
      </c>
      <c r="K72" s="395" t="s">
        <v>457</v>
      </c>
      <c r="L72" s="405">
        <f>КВР!C37+КВР!D37+КВР!E37+КВР!F37</f>
        <v>11220500</v>
      </c>
      <c r="M72" s="405">
        <f>КВР!G37+КВР!H37+КВР!I37+КВР!J37</f>
        <v>11220500</v>
      </c>
      <c r="N72" s="406">
        <f>КВР!K37+КВР!L37+КВР!M37+КВР!N37</f>
        <v>11220500</v>
      </c>
      <c r="O72" s="364">
        <v>0</v>
      </c>
      <c r="P72" s="357"/>
      <c r="Q72" s="372"/>
      <c r="R72" s="357"/>
    </row>
    <row r="73" spans="1:18" s="356" customFormat="1" ht="15" thickBot="1" x14ac:dyDescent="0.35">
      <c r="A73" s="468" t="s">
        <v>311</v>
      </c>
      <c r="B73" s="416" t="s">
        <v>505</v>
      </c>
      <c r="C73" s="417" t="s">
        <v>502</v>
      </c>
      <c r="D73" s="418" t="s">
        <v>457</v>
      </c>
      <c r="E73" s="418"/>
      <c r="F73" s="418" t="s">
        <v>341</v>
      </c>
      <c r="G73" s="418" t="s">
        <v>458</v>
      </c>
      <c r="H73" s="614" t="s">
        <v>341</v>
      </c>
      <c r="I73" s="614"/>
      <c r="J73" s="418" t="s">
        <v>459</v>
      </c>
      <c r="K73" s="418" t="s">
        <v>457</v>
      </c>
      <c r="L73" s="678">
        <v>0</v>
      </c>
      <c r="M73" s="678">
        <v>0</v>
      </c>
      <c r="N73" s="690">
        <v>0</v>
      </c>
      <c r="O73" s="419">
        <v>0</v>
      </c>
      <c r="P73" s="372"/>
      <c r="Q73" s="372"/>
      <c r="R73" s="357"/>
    </row>
    <row r="74" spans="1:18" s="356" customFormat="1" ht="28.2" x14ac:dyDescent="0.3">
      <c r="A74" s="462" t="s">
        <v>506</v>
      </c>
      <c r="B74" s="362" t="s">
        <v>507</v>
      </c>
      <c r="C74" s="363" t="s">
        <v>469</v>
      </c>
      <c r="D74" s="395" t="s">
        <v>457</v>
      </c>
      <c r="E74" s="395"/>
      <c r="F74" s="395" t="s">
        <v>341</v>
      </c>
      <c r="G74" s="395" t="s">
        <v>458</v>
      </c>
      <c r="H74" s="611" t="s">
        <v>341</v>
      </c>
      <c r="I74" s="611"/>
      <c r="J74" s="395" t="s">
        <v>459</v>
      </c>
      <c r="K74" s="395" t="s">
        <v>457</v>
      </c>
      <c r="L74" s="670">
        <v>0</v>
      </c>
      <c r="M74" s="670">
        <v>0</v>
      </c>
      <c r="N74" s="682">
        <v>0</v>
      </c>
      <c r="O74" s="364">
        <v>0</v>
      </c>
      <c r="P74" s="372"/>
      <c r="Q74" s="372"/>
      <c r="R74" s="357"/>
    </row>
    <row r="75" spans="1:18" s="356" customFormat="1" ht="28.2" x14ac:dyDescent="0.3">
      <c r="A75" s="459" t="s">
        <v>508</v>
      </c>
      <c r="B75" s="362" t="s">
        <v>509</v>
      </c>
      <c r="C75" s="363" t="s">
        <v>510</v>
      </c>
      <c r="D75" s="395" t="s">
        <v>457</v>
      </c>
      <c r="E75" s="395"/>
      <c r="F75" s="395" t="s">
        <v>341</v>
      </c>
      <c r="G75" s="395" t="s">
        <v>458</v>
      </c>
      <c r="H75" s="611" t="s">
        <v>341</v>
      </c>
      <c r="I75" s="611"/>
      <c r="J75" s="395" t="s">
        <v>459</v>
      </c>
      <c r="K75" s="395" t="s">
        <v>457</v>
      </c>
      <c r="L75" s="670">
        <v>0</v>
      </c>
      <c r="M75" s="670">
        <v>0</v>
      </c>
      <c r="N75" s="682">
        <v>0</v>
      </c>
      <c r="O75" s="364">
        <v>0</v>
      </c>
      <c r="P75" s="372"/>
      <c r="Q75" s="372"/>
      <c r="R75" s="357"/>
    </row>
    <row r="76" spans="1:18" s="356" customFormat="1" ht="28.2" x14ac:dyDescent="0.3">
      <c r="A76" s="459" t="s">
        <v>511</v>
      </c>
      <c r="B76" s="362" t="s">
        <v>512</v>
      </c>
      <c r="C76" s="363" t="s">
        <v>513</v>
      </c>
      <c r="D76" s="395" t="s">
        <v>457</v>
      </c>
      <c r="E76" s="395"/>
      <c r="F76" s="395" t="s">
        <v>341</v>
      </c>
      <c r="G76" s="395" t="s">
        <v>458</v>
      </c>
      <c r="H76" s="611" t="s">
        <v>341</v>
      </c>
      <c r="I76" s="611"/>
      <c r="J76" s="395" t="s">
        <v>459</v>
      </c>
      <c r="K76" s="395" t="s">
        <v>457</v>
      </c>
      <c r="L76" s="670">
        <v>0</v>
      </c>
      <c r="M76" s="670">
        <v>0</v>
      </c>
      <c r="N76" s="682">
        <v>0</v>
      </c>
      <c r="O76" s="364">
        <v>0</v>
      </c>
      <c r="P76" s="372"/>
      <c r="Q76" s="372"/>
      <c r="R76" s="357"/>
    </row>
    <row r="77" spans="1:18" s="356" customFormat="1" ht="28.2" x14ac:dyDescent="0.3">
      <c r="A77" s="459" t="s">
        <v>514</v>
      </c>
      <c r="B77" s="362" t="s">
        <v>515</v>
      </c>
      <c r="C77" s="363" t="s">
        <v>516</v>
      </c>
      <c r="D77" s="395" t="s">
        <v>457</v>
      </c>
      <c r="E77" s="395"/>
      <c r="F77" s="395" t="s">
        <v>341</v>
      </c>
      <c r="G77" s="395" t="s">
        <v>458</v>
      </c>
      <c r="H77" s="611" t="s">
        <v>341</v>
      </c>
      <c r="I77" s="611"/>
      <c r="J77" s="395" t="s">
        <v>459</v>
      </c>
      <c r="K77" s="395" t="s">
        <v>457</v>
      </c>
      <c r="L77" s="670">
        <v>0</v>
      </c>
      <c r="M77" s="670">
        <v>0</v>
      </c>
      <c r="N77" s="682">
        <v>0</v>
      </c>
      <c r="O77" s="364">
        <v>0</v>
      </c>
      <c r="P77" s="372"/>
      <c r="Q77" s="372"/>
      <c r="R77" s="372"/>
    </row>
    <row r="78" spans="1:18" s="356" customFormat="1" ht="28.2" x14ac:dyDescent="0.3">
      <c r="A78" s="467" t="s">
        <v>517</v>
      </c>
      <c r="B78" s="362" t="s">
        <v>518</v>
      </c>
      <c r="C78" s="363" t="s">
        <v>516</v>
      </c>
      <c r="D78" s="395" t="s">
        <v>457</v>
      </c>
      <c r="E78" s="395"/>
      <c r="F78" s="395" t="s">
        <v>341</v>
      </c>
      <c r="G78" s="395" t="s">
        <v>458</v>
      </c>
      <c r="H78" s="611" t="s">
        <v>341</v>
      </c>
      <c r="I78" s="611"/>
      <c r="J78" s="395" t="s">
        <v>459</v>
      </c>
      <c r="K78" s="395" t="s">
        <v>457</v>
      </c>
      <c r="L78" s="670">
        <v>0</v>
      </c>
      <c r="M78" s="670">
        <v>0</v>
      </c>
      <c r="N78" s="682">
        <v>0</v>
      </c>
      <c r="O78" s="364">
        <v>0</v>
      </c>
    </row>
    <row r="79" spans="1:18" s="372" customFormat="1" ht="14.4" x14ac:dyDescent="0.3">
      <c r="A79" s="452" t="s">
        <v>312</v>
      </c>
      <c r="B79" s="369" t="s">
        <v>519</v>
      </c>
      <c r="C79" s="370" t="s">
        <v>520</v>
      </c>
      <c r="D79" s="371" t="s">
        <v>457</v>
      </c>
      <c r="E79" s="371"/>
      <c r="F79" s="371" t="s">
        <v>341</v>
      </c>
      <c r="G79" s="371" t="s">
        <v>458</v>
      </c>
      <c r="H79" s="606" t="s">
        <v>341</v>
      </c>
      <c r="I79" s="606"/>
      <c r="J79" s="371" t="s">
        <v>459</v>
      </c>
      <c r="K79" s="371" t="s">
        <v>457</v>
      </c>
      <c r="L79" s="672">
        <f>L80</f>
        <v>100000</v>
      </c>
      <c r="M79" s="672">
        <f t="shared" ref="M79:O79" si="8">M80</f>
        <v>100000</v>
      </c>
      <c r="N79" s="685">
        <f t="shared" si="8"/>
        <v>100000</v>
      </c>
      <c r="O79" s="403">
        <f t="shared" si="8"/>
        <v>0</v>
      </c>
    </row>
    <row r="80" spans="1:18" s="356" customFormat="1" ht="42" x14ac:dyDescent="0.3">
      <c r="A80" s="459" t="s">
        <v>521</v>
      </c>
      <c r="B80" s="362" t="s">
        <v>522</v>
      </c>
      <c r="C80" s="363" t="s">
        <v>523</v>
      </c>
      <c r="D80" s="395" t="s">
        <v>457</v>
      </c>
      <c r="E80" s="395"/>
      <c r="F80" s="395" t="s">
        <v>341</v>
      </c>
      <c r="G80" s="395" t="s">
        <v>458</v>
      </c>
      <c r="H80" s="611" t="s">
        <v>341</v>
      </c>
      <c r="I80" s="611"/>
      <c r="J80" s="395" t="s">
        <v>459</v>
      </c>
      <c r="K80" s="395" t="s">
        <v>457</v>
      </c>
      <c r="L80" s="405">
        <f>L81</f>
        <v>100000</v>
      </c>
      <c r="M80" s="670">
        <f>M81</f>
        <v>100000</v>
      </c>
      <c r="N80" s="682">
        <f>N81</f>
        <v>100000</v>
      </c>
      <c r="O80" s="364">
        <f>O81</f>
        <v>0</v>
      </c>
    </row>
    <row r="81" spans="1:18" s="356" customFormat="1" ht="42" x14ac:dyDescent="0.3">
      <c r="A81" s="467" t="s">
        <v>524</v>
      </c>
      <c r="B81" s="362" t="s">
        <v>525</v>
      </c>
      <c r="C81" s="363" t="s">
        <v>526</v>
      </c>
      <c r="D81" s="395" t="s">
        <v>527</v>
      </c>
      <c r="E81" s="395"/>
      <c r="F81" s="395" t="s">
        <v>338</v>
      </c>
      <c r="G81" s="395" t="s">
        <v>328</v>
      </c>
      <c r="H81" s="611" t="s">
        <v>337</v>
      </c>
      <c r="I81" s="611"/>
      <c r="J81" s="395" t="s">
        <v>470</v>
      </c>
      <c r="K81" s="395" t="s">
        <v>527</v>
      </c>
      <c r="L81" s="405">
        <f>КВР!C77+КВР!D77+КВР!E77+КВР!F77</f>
        <v>100000</v>
      </c>
      <c r="M81" s="405">
        <f>КВР!G77+КВР!H77+КВР!I77+КВР!J77</f>
        <v>100000</v>
      </c>
      <c r="N81" s="406">
        <f>КВР!K77+КВР!L77+КВР!M77+КВР!N77</f>
        <v>100000</v>
      </c>
      <c r="O81" s="364">
        <v>0</v>
      </c>
    </row>
    <row r="82" spans="1:18" s="356" customFormat="1" ht="30.6" customHeight="1" x14ac:dyDescent="0.3">
      <c r="A82" s="467" t="s">
        <v>528</v>
      </c>
      <c r="B82" s="362" t="s">
        <v>529</v>
      </c>
      <c r="C82" s="363" t="s">
        <v>530</v>
      </c>
      <c r="D82" s="395" t="s">
        <v>457</v>
      </c>
      <c r="E82" s="395" t="s">
        <v>483</v>
      </c>
      <c r="F82" s="395" t="s">
        <v>341</v>
      </c>
      <c r="G82" s="395" t="s">
        <v>458</v>
      </c>
      <c r="H82" s="611" t="s">
        <v>341</v>
      </c>
      <c r="I82" s="611"/>
      <c r="J82" s="395" t="s">
        <v>459</v>
      </c>
      <c r="K82" s="395" t="s">
        <v>457</v>
      </c>
      <c r="L82" s="405">
        <v>0</v>
      </c>
      <c r="M82" s="670">
        <v>0</v>
      </c>
      <c r="N82" s="682">
        <v>0</v>
      </c>
      <c r="O82" s="364">
        <v>0</v>
      </c>
    </row>
    <row r="83" spans="1:18" s="356" customFormat="1" ht="28.2" x14ac:dyDescent="0.3">
      <c r="A83" s="459" t="s">
        <v>388</v>
      </c>
      <c r="B83" s="362" t="s">
        <v>531</v>
      </c>
      <c r="C83" s="363" t="s">
        <v>532</v>
      </c>
      <c r="D83" s="395" t="s">
        <v>457</v>
      </c>
      <c r="E83" s="395"/>
      <c r="F83" s="395" t="s">
        <v>341</v>
      </c>
      <c r="G83" s="395" t="s">
        <v>458</v>
      </c>
      <c r="H83" s="611" t="s">
        <v>341</v>
      </c>
      <c r="I83" s="611"/>
      <c r="J83" s="395" t="s">
        <v>459</v>
      </c>
      <c r="K83" s="395" t="s">
        <v>457</v>
      </c>
      <c r="L83" s="405">
        <v>0</v>
      </c>
      <c r="M83" s="670">
        <v>0</v>
      </c>
      <c r="N83" s="682">
        <v>0</v>
      </c>
      <c r="O83" s="364">
        <v>0</v>
      </c>
    </row>
    <row r="84" spans="1:18" s="356" customFormat="1" ht="55.8" x14ac:dyDescent="0.3">
      <c r="A84" s="459" t="s">
        <v>533</v>
      </c>
      <c r="B84" s="362" t="s">
        <v>534</v>
      </c>
      <c r="C84" s="363" t="s">
        <v>535</v>
      </c>
      <c r="D84" s="395" t="s">
        <v>457</v>
      </c>
      <c r="E84" s="395"/>
      <c r="F84" s="395" t="s">
        <v>341</v>
      </c>
      <c r="G84" s="395" t="s">
        <v>458</v>
      </c>
      <c r="H84" s="611" t="s">
        <v>341</v>
      </c>
      <c r="I84" s="611"/>
      <c r="J84" s="395" t="s">
        <v>459</v>
      </c>
      <c r="K84" s="395" t="s">
        <v>457</v>
      </c>
      <c r="L84" s="670">
        <v>0</v>
      </c>
      <c r="M84" s="670">
        <v>0</v>
      </c>
      <c r="N84" s="682">
        <v>0</v>
      </c>
      <c r="O84" s="364">
        <v>0</v>
      </c>
    </row>
    <row r="85" spans="1:18" s="356" customFormat="1" ht="14.4" x14ac:dyDescent="0.3">
      <c r="A85" s="459" t="s">
        <v>389</v>
      </c>
      <c r="B85" s="362" t="s">
        <v>536</v>
      </c>
      <c r="C85" s="363" t="s">
        <v>537</v>
      </c>
      <c r="D85" s="395" t="s">
        <v>457</v>
      </c>
      <c r="E85" s="395"/>
      <c r="F85" s="395" t="s">
        <v>341</v>
      </c>
      <c r="G85" s="395" t="s">
        <v>458</v>
      </c>
      <c r="H85" s="611" t="s">
        <v>341</v>
      </c>
      <c r="I85" s="611"/>
      <c r="J85" s="395" t="s">
        <v>459</v>
      </c>
      <c r="K85" s="395" t="s">
        <v>457</v>
      </c>
      <c r="L85" s="670">
        <v>0</v>
      </c>
      <c r="M85" s="670">
        <v>0</v>
      </c>
      <c r="N85" s="682">
        <v>0</v>
      </c>
      <c r="O85" s="364">
        <v>0</v>
      </c>
    </row>
    <row r="86" spans="1:18" s="356" customFormat="1" ht="14.4" x14ac:dyDescent="0.3">
      <c r="A86" s="452" t="s">
        <v>313</v>
      </c>
      <c r="B86" s="369" t="s">
        <v>538</v>
      </c>
      <c r="C86" s="370" t="s">
        <v>539</v>
      </c>
      <c r="D86" s="371" t="s">
        <v>457</v>
      </c>
      <c r="E86" s="371"/>
      <c r="F86" s="371" t="s">
        <v>341</v>
      </c>
      <c r="G86" s="371" t="s">
        <v>458</v>
      </c>
      <c r="H86" s="606" t="s">
        <v>341</v>
      </c>
      <c r="I86" s="606"/>
      <c r="J86" s="371" t="s">
        <v>459</v>
      </c>
      <c r="K86" s="371" t="s">
        <v>457</v>
      </c>
      <c r="L86" s="672">
        <f>L87+L88+L89</f>
        <v>0</v>
      </c>
      <c r="M86" s="672">
        <f t="shared" ref="M86:O86" si="9">M87+M88+M89</f>
        <v>0</v>
      </c>
      <c r="N86" s="685">
        <f t="shared" si="9"/>
        <v>0</v>
      </c>
      <c r="O86" s="403">
        <f t="shared" si="9"/>
        <v>0</v>
      </c>
    </row>
    <row r="87" spans="1:18" s="356" customFormat="1" ht="28.2" x14ac:dyDescent="0.3">
      <c r="A87" s="459" t="s">
        <v>314</v>
      </c>
      <c r="B87" s="362" t="s">
        <v>540</v>
      </c>
      <c r="C87" s="363" t="s">
        <v>541</v>
      </c>
      <c r="D87" s="395" t="s">
        <v>457</v>
      </c>
      <c r="E87" s="395"/>
      <c r="F87" s="395" t="s">
        <v>341</v>
      </c>
      <c r="G87" s="395" t="s">
        <v>458</v>
      </c>
      <c r="H87" s="611" t="s">
        <v>341</v>
      </c>
      <c r="I87" s="611"/>
      <c r="J87" s="395" t="s">
        <v>459</v>
      </c>
      <c r="K87" s="395" t="s">
        <v>457</v>
      </c>
      <c r="L87" s="670">
        <v>0</v>
      </c>
      <c r="M87" s="670">
        <v>0</v>
      </c>
      <c r="N87" s="682">
        <v>0</v>
      </c>
      <c r="O87" s="364">
        <v>0</v>
      </c>
    </row>
    <row r="88" spans="1:18" s="356" customFormat="1" ht="28.2" x14ac:dyDescent="0.3">
      <c r="A88" s="459" t="s">
        <v>315</v>
      </c>
      <c r="B88" s="362" t="s">
        <v>542</v>
      </c>
      <c r="C88" s="363" t="s">
        <v>543</v>
      </c>
      <c r="D88" s="395" t="s">
        <v>457</v>
      </c>
      <c r="E88" s="395"/>
      <c r="F88" s="395" t="s">
        <v>340</v>
      </c>
      <c r="G88" s="395" t="s">
        <v>325</v>
      </c>
      <c r="H88" s="611" t="s">
        <v>339</v>
      </c>
      <c r="I88" s="611"/>
      <c r="J88" s="395" t="s">
        <v>470</v>
      </c>
      <c r="K88" s="395" t="s">
        <v>457</v>
      </c>
      <c r="L88" s="405">
        <f>КВР!E89</f>
        <v>0</v>
      </c>
      <c r="M88" s="405">
        <f>КВР!I89</f>
        <v>0</v>
      </c>
      <c r="N88" s="406">
        <f>КВР!J89</f>
        <v>0</v>
      </c>
      <c r="O88" s="364">
        <v>0</v>
      </c>
      <c r="P88" s="357"/>
      <c r="Q88" s="372"/>
      <c r="R88" s="372"/>
    </row>
    <row r="89" spans="1:18" s="356" customFormat="1" ht="14.4" x14ac:dyDescent="0.3">
      <c r="A89" s="459" t="s">
        <v>316</v>
      </c>
      <c r="B89" s="362" t="s">
        <v>544</v>
      </c>
      <c r="C89" s="363" t="s">
        <v>545</v>
      </c>
      <c r="D89" s="395" t="s">
        <v>457</v>
      </c>
      <c r="E89" s="395"/>
      <c r="F89" s="395" t="s">
        <v>343</v>
      </c>
      <c r="G89" s="395" t="s">
        <v>325</v>
      </c>
      <c r="H89" s="611" t="s">
        <v>342</v>
      </c>
      <c r="I89" s="611"/>
      <c r="J89" s="395" t="s">
        <v>470</v>
      </c>
      <c r="K89" s="395" t="s">
        <v>457</v>
      </c>
      <c r="L89" s="405">
        <f>КВР!E90</f>
        <v>0</v>
      </c>
      <c r="M89" s="405">
        <f>КВР!F90</f>
        <v>0</v>
      </c>
      <c r="N89" s="406">
        <f>КВР!G90</f>
        <v>0</v>
      </c>
      <c r="O89" s="364">
        <v>0</v>
      </c>
      <c r="P89" s="372"/>
      <c r="Q89" s="372"/>
      <c r="R89" s="372"/>
    </row>
    <row r="90" spans="1:18" s="356" customFormat="1" ht="14.4" x14ac:dyDescent="0.3">
      <c r="A90" s="452" t="s">
        <v>317</v>
      </c>
      <c r="B90" s="369" t="s">
        <v>546</v>
      </c>
      <c r="C90" s="370" t="s">
        <v>253</v>
      </c>
      <c r="D90" s="371" t="s">
        <v>457</v>
      </c>
      <c r="E90" s="371"/>
      <c r="F90" s="371" t="s">
        <v>341</v>
      </c>
      <c r="G90" s="371" t="s">
        <v>458</v>
      </c>
      <c r="H90" s="606" t="s">
        <v>341</v>
      </c>
      <c r="I90" s="606"/>
      <c r="J90" s="371" t="s">
        <v>459</v>
      </c>
      <c r="K90" s="371" t="s">
        <v>457</v>
      </c>
      <c r="L90" s="672">
        <f>L91+L92+L93+L94+L95+L96</f>
        <v>0</v>
      </c>
      <c r="M90" s="672">
        <f t="shared" ref="M90:O90" si="10">M91+M92+M93+M94+M95+M96</f>
        <v>0</v>
      </c>
      <c r="N90" s="685">
        <f t="shared" si="10"/>
        <v>0</v>
      </c>
      <c r="O90" s="403">
        <f t="shared" si="10"/>
        <v>0</v>
      </c>
      <c r="P90" s="372"/>
      <c r="Q90" s="372"/>
      <c r="R90" s="372"/>
    </row>
    <row r="91" spans="1:18" s="356" customFormat="1" ht="28.2" x14ac:dyDescent="0.3">
      <c r="A91" s="459" t="s">
        <v>547</v>
      </c>
      <c r="B91" s="362" t="s">
        <v>548</v>
      </c>
      <c r="C91" s="363" t="s">
        <v>549</v>
      </c>
      <c r="D91" s="395" t="s">
        <v>457</v>
      </c>
      <c r="E91" s="395"/>
      <c r="F91" s="395" t="s">
        <v>341</v>
      </c>
      <c r="G91" s="395" t="s">
        <v>458</v>
      </c>
      <c r="H91" s="611" t="s">
        <v>341</v>
      </c>
      <c r="I91" s="611"/>
      <c r="J91" s="395" t="s">
        <v>459</v>
      </c>
      <c r="K91" s="395" t="s">
        <v>457</v>
      </c>
      <c r="L91" s="670">
        <v>0</v>
      </c>
      <c r="M91" s="670">
        <v>0</v>
      </c>
      <c r="N91" s="682">
        <v>0</v>
      </c>
      <c r="O91" s="364">
        <v>0</v>
      </c>
      <c r="P91" s="372"/>
      <c r="Q91" s="372"/>
      <c r="R91" s="372"/>
    </row>
    <row r="92" spans="1:18" s="356" customFormat="1" ht="14.4" x14ac:dyDescent="0.3">
      <c r="A92" s="459" t="s">
        <v>363</v>
      </c>
      <c r="B92" s="362" t="s">
        <v>550</v>
      </c>
      <c r="C92" s="363" t="s">
        <v>551</v>
      </c>
      <c r="D92" s="395" t="s">
        <v>457</v>
      </c>
      <c r="E92" s="395"/>
      <c r="F92" s="395" t="s">
        <v>341</v>
      </c>
      <c r="G92" s="395" t="s">
        <v>458</v>
      </c>
      <c r="H92" s="611" t="s">
        <v>341</v>
      </c>
      <c r="I92" s="611"/>
      <c r="J92" s="395" t="s">
        <v>459</v>
      </c>
      <c r="K92" s="395" t="s">
        <v>457</v>
      </c>
      <c r="L92" s="670">
        <v>0</v>
      </c>
      <c r="M92" s="670">
        <v>0</v>
      </c>
      <c r="N92" s="682">
        <v>0</v>
      </c>
      <c r="O92" s="364">
        <v>0</v>
      </c>
      <c r="P92" s="372"/>
      <c r="Q92" s="372"/>
      <c r="R92" s="372"/>
    </row>
    <row r="93" spans="1:18" s="356" customFormat="1" ht="28.2" x14ac:dyDescent="0.3">
      <c r="A93" s="459" t="s">
        <v>552</v>
      </c>
      <c r="B93" s="362" t="s">
        <v>553</v>
      </c>
      <c r="C93" s="363" t="s">
        <v>554</v>
      </c>
      <c r="D93" s="395"/>
      <c r="E93" s="395"/>
      <c r="F93" s="395"/>
      <c r="G93" s="395"/>
      <c r="H93" s="611"/>
      <c r="I93" s="611"/>
      <c r="J93" s="395"/>
      <c r="K93" s="395"/>
      <c r="L93" s="670">
        <v>0</v>
      </c>
      <c r="M93" s="670">
        <v>0</v>
      </c>
      <c r="N93" s="682">
        <v>0</v>
      </c>
      <c r="O93" s="364">
        <v>0</v>
      </c>
      <c r="P93" s="372"/>
      <c r="Q93" s="372"/>
      <c r="R93" s="372"/>
    </row>
    <row r="94" spans="1:18" s="356" customFormat="1" ht="14.4" x14ac:dyDescent="0.3">
      <c r="A94" s="459" t="s">
        <v>390</v>
      </c>
      <c r="B94" s="362" t="s">
        <v>555</v>
      </c>
      <c r="C94" s="363" t="s">
        <v>556</v>
      </c>
      <c r="D94" s="395" t="s">
        <v>457</v>
      </c>
      <c r="E94" s="395"/>
      <c r="F94" s="395" t="s">
        <v>341</v>
      </c>
      <c r="G94" s="395" t="s">
        <v>458</v>
      </c>
      <c r="H94" s="611" t="s">
        <v>341</v>
      </c>
      <c r="I94" s="611"/>
      <c r="J94" s="395" t="s">
        <v>459</v>
      </c>
      <c r="K94" s="395" t="s">
        <v>457</v>
      </c>
      <c r="L94" s="670">
        <v>0</v>
      </c>
      <c r="M94" s="670">
        <v>0</v>
      </c>
      <c r="N94" s="682">
        <v>0</v>
      </c>
      <c r="O94" s="364">
        <v>0</v>
      </c>
      <c r="P94" s="372"/>
      <c r="Q94" s="372"/>
      <c r="R94" s="372"/>
    </row>
    <row r="95" spans="1:18" s="356" customFormat="1" ht="14.4" x14ac:dyDescent="0.3">
      <c r="A95" s="459" t="s">
        <v>318</v>
      </c>
      <c r="B95" s="362" t="s">
        <v>557</v>
      </c>
      <c r="C95" s="363" t="s">
        <v>558</v>
      </c>
      <c r="D95" s="395" t="s">
        <v>457</v>
      </c>
      <c r="E95" s="395"/>
      <c r="F95" s="395" t="s">
        <v>341</v>
      </c>
      <c r="G95" s="395" t="s">
        <v>458</v>
      </c>
      <c r="H95" s="611" t="s">
        <v>341</v>
      </c>
      <c r="I95" s="611"/>
      <c r="J95" s="395" t="s">
        <v>459</v>
      </c>
      <c r="K95" s="395" t="s">
        <v>457</v>
      </c>
      <c r="L95" s="670">
        <v>0</v>
      </c>
      <c r="M95" s="670">
        <v>0</v>
      </c>
      <c r="N95" s="682">
        <v>0</v>
      </c>
      <c r="O95" s="364">
        <v>0</v>
      </c>
      <c r="P95" s="372"/>
      <c r="Q95" s="372"/>
      <c r="R95" s="372"/>
    </row>
    <row r="96" spans="1:18" s="356" customFormat="1" ht="30.6" customHeight="1" x14ac:dyDescent="0.3">
      <c r="A96" s="459" t="s">
        <v>391</v>
      </c>
      <c r="B96" s="362" t="s">
        <v>559</v>
      </c>
      <c r="C96" s="363" t="s">
        <v>560</v>
      </c>
      <c r="D96" s="395" t="s">
        <v>457</v>
      </c>
      <c r="E96" s="395"/>
      <c r="F96" s="395" t="s">
        <v>341</v>
      </c>
      <c r="G96" s="395" t="s">
        <v>458</v>
      </c>
      <c r="H96" s="611" t="s">
        <v>341</v>
      </c>
      <c r="I96" s="611"/>
      <c r="J96" s="395" t="s">
        <v>459</v>
      </c>
      <c r="K96" s="395" t="s">
        <v>457</v>
      </c>
      <c r="L96" s="670">
        <v>0</v>
      </c>
      <c r="M96" s="670">
        <v>0</v>
      </c>
      <c r="N96" s="682">
        <v>0</v>
      </c>
      <c r="O96" s="364">
        <v>0</v>
      </c>
      <c r="P96" s="372"/>
      <c r="Q96" s="372"/>
      <c r="R96" s="420"/>
    </row>
    <row r="97" spans="1:18" s="356" customFormat="1" ht="14.4" x14ac:dyDescent="0.3">
      <c r="A97" s="452" t="s">
        <v>319</v>
      </c>
      <c r="B97" s="369" t="s">
        <v>561</v>
      </c>
      <c r="C97" s="370" t="s">
        <v>253</v>
      </c>
      <c r="D97" s="371" t="s">
        <v>457</v>
      </c>
      <c r="E97" s="371"/>
      <c r="F97" s="371" t="s">
        <v>341</v>
      </c>
      <c r="G97" s="371" t="s">
        <v>458</v>
      </c>
      <c r="H97" s="606" t="s">
        <v>341</v>
      </c>
      <c r="I97" s="606"/>
      <c r="J97" s="371" t="s">
        <v>459</v>
      </c>
      <c r="K97" s="371" t="s">
        <v>457</v>
      </c>
      <c r="L97" s="672">
        <f>L98</f>
        <v>0</v>
      </c>
      <c r="M97" s="672">
        <f t="shared" ref="M97:O97" si="11">M98</f>
        <v>0</v>
      </c>
      <c r="N97" s="685">
        <f t="shared" si="11"/>
        <v>0</v>
      </c>
      <c r="O97" s="403">
        <f t="shared" si="11"/>
        <v>0</v>
      </c>
      <c r="P97" s="372"/>
      <c r="Q97" s="372"/>
      <c r="R97" s="420"/>
    </row>
    <row r="98" spans="1:18" s="356" customFormat="1" ht="42" x14ac:dyDescent="0.3">
      <c r="A98" s="459" t="s">
        <v>320</v>
      </c>
      <c r="B98" s="362" t="s">
        <v>562</v>
      </c>
      <c r="C98" s="363" t="s">
        <v>563</v>
      </c>
      <c r="D98" s="395" t="s">
        <v>457</v>
      </c>
      <c r="E98" s="395"/>
      <c r="F98" s="395" t="s">
        <v>341</v>
      </c>
      <c r="G98" s="395" t="s">
        <v>458</v>
      </c>
      <c r="H98" s="611" t="s">
        <v>341</v>
      </c>
      <c r="I98" s="611"/>
      <c r="J98" s="395" t="s">
        <v>459</v>
      </c>
      <c r="K98" s="395" t="s">
        <v>457</v>
      </c>
      <c r="L98" s="670">
        <v>0</v>
      </c>
      <c r="M98" s="670">
        <v>0</v>
      </c>
      <c r="N98" s="682">
        <v>0</v>
      </c>
      <c r="O98" s="364">
        <v>0</v>
      </c>
      <c r="P98" s="372"/>
      <c r="Q98" s="372"/>
      <c r="R98" s="420"/>
    </row>
    <row r="99" spans="1:18" s="372" customFormat="1" ht="14.4" x14ac:dyDescent="0.3">
      <c r="A99" s="452" t="s">
        <v>564</v>
      </c>
      <c r="B99" s="369" t="s">
        <v>565</v>
      </c>
      <c r="C99" s="370" t="s">
        <v>253</v>
      </c>
      <c r="D99" s="371" t="s">
        <v>457</v>
      </c>
      <c r="E99" s="371"/>
      <c r="F99" s="371" t="s">
        <v>341</v>
      </c>
      <c r="G99" s="371" t="s">
        <v>458</v>
      </c>
      <c r="H99" s="606" t="s">
        <v>341</v>
      </c>
      <c r="I99" s="606"/>
      <c r="J99" s="371" t="s">
        <v>459</v>
      </c>
      <c r="K99" s="371" t="s">
        <v>457</v>
      </c>
      <c r="L99" s="672">
        <f>L102+L104+L101+L103+L105+L108</f>
        <v>13142200</v>
      </c>
      <c r="M99" s="672">
        <f>M102+M104+M101+M103+M105+M108</f>
        <v>13402400</v>
      </c>
      <c r="N99" s="685">
        <f>N102+N104+N101+N103+N105+N108</f>
        <v>13584600</v>
      </c>
      <c r="O99" s="403">
        <f>O102+O104+O101+O103+O105+O108</f>
        <v>0</v>
      </c>
    </row>
    <row r="100" spans="1:18" s="356" customFormat="1" ht="42" customHeight="1" thickBot="1" x14ac:dyDescent="0.35">
      <c r="A100" s="459" t="s">
        <v>566</v>
      </c>
      <c r="B100" s="362" t="s">
        <v>567</v>
      </c>
      <c r="C100" s="363" t="s">
        <v>568</v>
      </c>
      <c r="D100" s="395" t="s">
        <v>457</v>
      </c>
      <c r="E100" s="395"/>
      <c r="F100" s="395" t="s">
        <v>341</v>
      </c>
      <c r="G100" s="395" t="s">
        <v>458</v>
      </c>
      <c r="H100" s="611" t="s">
        <v>341</v>
      </c>
      <c r="I100" s="611"/>
      <c r="J100" s="395" t="s">
        <v>459</v>
      </c>
      <c r="K100" s="395" t="s">
        <v>457</v>
      </c>
      <c r="L100" s="670">
        <v>0</v>
      </c>
      <c r="M100" s="670">
        <v>0</v>
      </c>
      <c r="N100" s="682">
        <v>0</v>
      </c>
      <c r="O100" s="364">
        <v>0</v>
      </c>
      <c r="P100" s="372"/>
      <c r="Q100" s="372"/>
      <c r="R100" s="372"/>
    </row>
    <row r="101" spans="1:18" s="356" customFormat="1" ht="28.2" x14ac:dyDescent="0.3">
      <c r="A101" s="459" t="s">
        <v>321</v>
      </c>
      <c r="B101" s="421" t="s">
        <v>569</v>
      </c>
      <c r="C101" s="422" t="s">
        <v>570</v>
      </c>
      <c r="D101" s="423" t="s">
        <v>457</v>
      </c>
      <c r="E101" s="423"/>
      <c r="F101" s="423" t="s">
        <v>341</v>
      </c>
      <c r="G101" s="423" t="s">
        <v>458</v>
      </c>
      <c r="H101" s="615" t="s">
        <v>341</v>
      </c>
      <c r="I101" s="615"/>
      <c r="J101" s="423" t="s">
        <v>459</v>
      </c>
      <c r="K101" s="423" t="s">
        <v>457</v>
      </c>
      <c r="L101" s="679">
        <v>0</v>
      </c>
      <c r="M101" s="679">
        <v>0</v>
      </c>
      <c r="N101" s="691">
        <v>0</v>
      </c>
      <c r="O101" s="424">
        <v>0</v>
      </c>
      <c r="P101" s="372"/>
      <c r="Q101" s="372"/>
      <c r="R101" s="372"/>
    </row>
    <row r="102" spans="1:18" s="356" customFormat="1" ht="14.4" x14ac:dyDescent="0.3">
      <c r="A102" s="462" t="s">
        <v>571</v>
      </c>
      <c r="B102" s="380" t="s">
        <v>572</v>
      </c>
      <c r="C102" s="381" t="s">
        <v>573</v>
      </c>
      <c r="D102" s="382" t="s">
        <v>457</v>
      </c>
      <c r="E102" s="382"/>
      <c r="F102" s="382" t="s">
        <v>341</v>
      </c>
      <c r="G102" s="382" t="s">
        <v>458</v>
      </c>
      <c r="H102" s="608" t="s">
        <v>341</v>
      </c>
      <c r="I102" s="608"/>
      <c r="J102" s="382" t="s">
        <v>470</v>
      </c>
      <c r="K102" s="382" t="s">
        <v>457</v>
      </c>
      <c r="L102" s="727">
        <f>КВР!C44+КВР!D44+КВР!E44+КВР!F44</f>
        <v>10854000</v>
      </c>
      <c r="M102" s="727">
        <f>КВР!G44+КВР!H44+КВР!I44+КВР!J44</f>
        <v>11114200</v>
      </c>
      <c r="N102" s="731">
        <f>КВР!K44+КВР!L44+КВР!M44+КВР!N44</f>
        <v>11296400</v>
      </c>
      <c r="O102" s="392">
        <v>0</v>
      </c>
      <c r="P102" s="372"/>
      <c r="Q102" s="372"/>
    </row>
    <row r="103" spans="1:18" s="356" customFormat="1" ht="28.2" x14ac:dyDescent="0.3">
      <c r="A103" s="459" t="s">
        <v>574</v>
      </c>
      <c r="B103" s="362" t="s">
        <v>575</v>
      </c>
      <c r="C103" s="363" t="s">
        <v>576</v>
      </c>
      <c r="D103" s="395" t="s">
        <v>457</v>
      </c>
      <c r="E103" s="395"/>
      <c r="F103" s="395" t="s">
        <v>341</v>
      </c>
      <c r="G103" s="395" t="s">
        <v>458</v>
      </c>
      <c r="H103" s="611" t="s">
        <v>341</v>
      </c>
      <c r="I103" s="611"/>
      <c r="J103" s="395" t="s">
        <v>459</v>
      </c>
      <c r="K103" s="395" t="s">
        <v>457</v>
      </c>
      <c r="L103" s="405">
        <v>0</v>
      </c>
      <c r="M103" s="405">
        <v>0</v>
      </c>
      <c r="N103" s="406">
        <v>0</v>
      </c>
      <c r="O103" s="402">
        <v>0</v>
      </c>
      <c r="P103" s="372"/>
      <c r="Q103" s="372"/>
    </row>
    <row r="104" spans="1:18" s="356" customFormat="1" ht="14.4" x14ac:dyDescent="0.3">
      <c r="A104" s="459" t="s">
        <v>385</v>
      </c>
      <c r="B104" s="362" t="s">
        <v>577</v>
      </c>
      <c r="C104" s="400" t="s">
        <v>578</v>
      </c>
      <c r="D104" s="395" t="s">
        <v>457</v>
      </c>
      <c r="E104" s="395"/>
      <c r="F104" s="395" t="s">
        <v>341</v>
      </c>
      <c r="G104" s="395" t="s">
        <v>458</v>
      </c>
      <c r="H104" s="611" t="s">
        <v>579</v>
      </c>
      <c r="I104" s="611"/>
      <c r="J104" s="395" t="s">
        <v>470</v>
      </c>
      <c r="K104" s="395" t="s">
        <v>457</v>
      </c>
      <c r="L104" s="405">
        <f>КВР!C67+КВР!D67+КВР!E67+КВР!F67</f>
        <v>2288200</v>
      </c>
      <c r="M104" s="405">
        <f>КВР!G67+КВР!H67+КВР!I67+КВР!J67</f>
        <v>2288200</v>
      </c>
      <c r="N104" s="406">
        <f>КВР!K67+КВР!L67+КВР!M67+КВР!N67</f>
        <v>2288200</v>
      </c>
      <c r="O104" s="402">
        <v>0</v>
      </c>
      <c r="P104" s="372"/>
      <c r="Q104" s="372"/>
    </row>
    <row r="105" spans="1:18" s="356" customFormat="1" ht="28.2" x14ac:dyDescent="0.3">
      <c r="A105" s="459" t="s">
        <v>580</v>
      </c>
      <c r="B105" s="362" t="s">
        <v>581</v>
      </c>
      <c r="C105" s="363" t="s">
        <v>582</v>
      </c>
      <c r="D105" s="395" t="s">
        <v>457</v>
      </c>
      <c r="E105" s="395"/>
      <c r="F105" s="395" t="s">
        <v>341</v>
      </c>
      <c r="G105" s="395" t="s">
        <v>458</v>
      </c>
      <c r="H105" s="611" t="s">
        <v>341</v>
      </c>
      <c r="I105" s="611"/>
      <c r="J105" s="395" t="s">
        <v>459</v>
      </c>
      <c r="K105" s="395" t="s">
        <v>457</v>
      </c>
      <c r="L105" s="405">
        <f>L106+L107</f>
        <v>0</v>
      </c>
      <c r="M105" s="405">
        <f t="shared" ref="M105:O105" si="12">M106+M107</f>
        <v>0</v>
      </c>
      <c r="N105" s="406">
        <f t="shared" si="12"/>
        <v>0</v>
      </c>
      <c r="O105" s="402">
        <f t="shared" si="12"/>
        <v>0</v>
      </c>
      <c r="P105" s="372"/>
      <c r="Q105" s="372"/>
    </row>
    <row r="106" spans="1:18" s="356" customFormat="1" ht="42" x14ac:dyDescent="0.3">
      <c r="A106" s="467" t="s">
        <v>583</v>
      </c>
      <c r="B106" s="362" t="s">
        <v>584</v>
      </c>
      <c r="C106" s="363" t="s">
        <v>585</v>
      </c>
      <c r="D106" s="395" t="s">
        <v>457</v>
      </c>
      <c r="E106" s="395"/>
      <c r="F106" s="395" t="s">
        <v>341</v>
      </c>
      <c r="G106" s="395" t="s">
        <v>458</v>
      </c>
      <c r="H106" s="611" t="s">
        <v>341</v>
      </c>
      <c r="I106" s="611"/>
      <c r="J106" s="395" t="s">
        <v>459</v>
      </c>
      <c r="K106" s="395" t="s">
        <v>457</v>
      </c>
      <c r="L106" s="670">
        <v>0</v>
      </c>
      <c r="M106" s="670">
        <v>0</v>
      </c>
      <c r="N106" s="682">
        <v>0</v>
      </c>
      <c r="O106" s="364">
        <v>0</v>
      </c>
      <c r="P106" s="372"/>
      <c r="Q106" s="372"/>
    </row>
    <row r="107" spans="1:18" s="356" customFormat="1" ht="28.2" x14ac:dyDescent="0.3">
      <c r="A107" s="467" t="s">
        <v>586</v>
      </c>
      <c r="B107" s="362" t="s">
        <v>587</v>
      </c>
      <c r="C107" s="363" t="s">
        <v>588</v>
      </c>
      <c r="D107" s="395" t="s">
        <v>457</v>
      </c>
      <c r="E107" s="395"/>
      <c r="F107" s="395" t="s">
        <v>341</v>
      </c>
      <c r="G107" s="395" t="s">
        <v>458</v>
      </c>
      <c r="H107" s="611" t="s">
        <v>341</v>
      </c>
      <c r="I107" s="611"/>
      <c r="J107" s="395" t="s">
        <v>459</v>
      </c>
      <c r="K107" s="395" t="s">
        <v>457</v>
      </c>
      <c r="L107" s="670">
        <v>0</v>
      </c>
      <c r="M107" s="670">
        <v>0</v>
      </c>
      <c r="N107" s="682">
        <v>0</v>
      </c>
      <c r="O107" s="364">
        <v>0</v>
      </c>
    </row>
    <row r="108" spans="1:18" s="356" customFormat="1" ht="14.4" x14ac:dyDescent="0.3">
      <c r="A108" s="469" t="s">
        <v>589</v>
      </c>
      <c r="B108" s="362" t="s">
        <v>590</v>
      </c>
      <c r="C108" s="363" t="s">
        <v>591</v>
      </c>
      <c r="D108" s="395" t="s">
        <v>457</v>
      </c>
      <c r="E108" s="395"/>
      <c r="F108" s="395" t="s">
        <v>341</v>
      </c>
      <c r="G108" s="395" t="s">
        <v>458</v>
      </c>
      <c r="H108" s="611" t="s">
        <v>341</v>
      </c>
      <c r="I108" s="611"/>
      <c r="J108" s="395" t="s">
        <v>459</v>
      </c>
      <c r="K108" s="395" t="s">
        <v>457</v>
      </c>
      <c r="L108" s="670">
        <v>0</v>
      </c>
      <c r="M108" s="670">
        <v>0</v>
      </c>
      <c r="N108" s="682">
        <v>0</v>
      </c>
      <c r="O108" s="364">
        <v>0</v>
      </c>
    </row>
    <row r="109" spans="1:18" s="356" customFormat="1" ht="14.4" x14ac:dyDescent="0.3">
      <c r="A109" s="470" t="s">
        <v>592</v>
      </c>
      <c r="B109" s="425" t="s">
        <v>593</v>
      </c>
      <c r="C109" s="426" t="s">
        <v>594</v>
      </c>
      <c r="D109" s="371" t="s">
        <v>457</v>
      </c>
      <c r="E109" s="371"/>
      <c r="F109" s="371" t="s">
        <v>341</v>
      </c>
      <c r="G109" s="371" t="s">
        <v>325</v>
      </c>
      <c r="H109" s="606" t="s">
        <v>595</v>
      </c>
      <c r="I109" s="606" t="s">
        <v>365</v>
      </c>
      <c r="J109" s="371" t="s">
        <v>459</v>
      </c>
      <c r="K109" s="371" t="s">
        <v>457</v>
      </c>
      <c r="L109" s="672">
        <f>L110+L111+L112</f>
        <v>0</v>
      </c>
      <c r="M109" s="672">
        <f t="shared" ref="M109:O109" si="13">M110+M111+M112</f>
        <v>0</v>
      </c>
      <c r="N109" s="685">
        <f t="shared" si="13"/>
        <v>0</v>
      </c>
      <c r="O109" s="403">
        <f t="shared" si="13"/>
        <v>0</v>
      </c>
    </row>
    <row r="110" spans="1:18" s="356" customFormat="1" ht="28.2" x14ac:dyDescent="0.3">
      <c r="A110" s="471" t="s">
        <v>596</v>
      </c>
      <c r="B110" s="362" t="s">
        <v>597</v>
      </c>
      <c r="C110" s="363"/>
      <c r="D110" s="395" t="s">
        <v>457</v>
      </c>
      <c r="E110" s="395"/>
      <c r="F110" s="395" t="s">
        <v>341</v>
      </c>
      <c r="G110" s="395" t="s">
        <v>325</v>
      </c>
      <c r="H110" s="611" t="s">
        <v>595</v>
      </c>
      <c r="I110" s="611" t="s">
        <v>365</v>
      </c>
      <c r="J110" s="395" t="s">
        <v>470</v>
      </c>
      <c r="K110" s="395" t="s">
        <v>457</v>
      </c>
      <c r="L110" s="405"/>
      <c r="M110" s="405"/>
      <c r="N110" s="406"/>
      <c r="O110" s="364">
        <v>0</v>
      </c>
    </row>
    <row r="111" spans="1:18" s="356" customFormat="1" ht="14.4" x14ac:dyDescent="0.3">
      <c r="A111" s="471" t="s">
        <v>598</v>
      </c>
      <c r="B111" s="362" t="s">
        <v>599</v>
      </c>
      <c r="C111" s="363"/>
      <c r="D111" s="395" t="s">
        <v>457</v>
      </c>
      <c r="E111" s="395"/>
      <c r="F111" s="395" t="s">
        <v>341</v>
      </c>
      <c r="G111" s="395" t="s">
        <v>325</v>
      </c>
      <c r="H111" s="611" t="s">
        <v>595</v>
      </c>
      <c r="I111" s="611" t="s">
        <v>365</v>
      </c>
      <c r="J111" s="395" t="s">
        <v>470</v>
      </c>
      <c r="K111" s="395" t="s">
        <v>457</v>
      </c>
      <c r="L111" s="405"/>
      <c r="M111" s="405"/>
      <c r="N111" s="406"/>
      <c r="O111" s="364">
        <v>0</v>
      </c>
    </row>
    <row r="112" spans="1:18" s="356" customFormat="1" ht="14.4" x14ac:dyDescent="0.3">
      <c r="A112" s="471" t="s">
        <v>600</v>
      </c>
      <c r="B112" s="362" t="s">
        <v>601</v>
      </c>
      <c r="C112" s="363"/>
      <c r="D112" s="395" t="s">
        <v>457</v>
      </c>
      <c r="E112" s="395"/>
      <c r="F112" s="395" t="s">
        <v>341</v>
      </c>
      <c r="G112" s="395" t="s">
        <v>325</v>
      </c>
      <c r="H112" s="611" t="s">
        <v>595</v>
      </c>
      <c r="I112" s="611" t="s">
        <v>365</v>
      </c>
      <c r="J112" s="395" t="s">
        <v>459</v>
      </c>
      <c r="K112" s="395" t="s">
        <v>457</v>
      </c>
      <c r="L112" s="405"/>
      <c r="M112" s="405"/>
      <c r="N112" s="406"/>
      <c r="O112" s="364">
        <v>0</v>
      </c>
    </row>
    <row r="113" spans="1:15" s="356" customFormat="1" ht="14.4" x14ac:dyDescent="0.3">
      <c r="A113" s="470" t="s">
        <v>602</v>
      </c>
      <c r="B113" s="425" t="s">
        <v>603</v>
      </c>
      <c r="C113" s="426" t="s">
        <v>253</v>
      </c>
      <c r="D113" s="371" t="s">
        <v>457</v>
      </c>
      <c r="E113" s="371"/>
      <c r="F113" s="371" t="s">
        <v>341</v>
      </c>
      <c r="G113" s="371" t="s">
        <v>458</v>
      </c>
      <c r="H113" s="606" t="s">
        <v>341</v>
      </c>
      <c r="I113" s="606" t="s">
        <v>604</v>
      </c>
      <c r="J113" s="371" t="s">
        <v>459</v>
      </c>
      <c r="K113" s="371" t="s">
        <v>457</v>
      </c>
      <c r="L113" s="672">
        <f>L114+L115+L116+L117</f>
        <v>0</v>
      </c>
      <c r="M113" s="672">
        <f t="shared" ref="M113:O113" si="14">M114+M115+M116+M117</f>
        <v>0</v>
      </c>
      <c r="N113" s="685">
        <f t="shared" si="14"/>
        <v>0</v>
      </c>
      <c r="O113" s="403">
        <f t="shared" si="14"/>
        <v>0</v>
      </c>
    </row>
    <row r="114" spans="1:15" s="356" customFormat="1" ht="28.2" x14ac:dyDescent="0.3">
      <c r="A114" s="471" t="s">
        <v>322</v>
      </c>
      <c r="B114" s="362" t="s">
        <v>605</v>
      </c>
      <c r="C114" s="363" t="s">
        <v>604</v>
      </c>
      <c r="D114" s="395"/>
      <c r="E114" s="395"/>
      <c r="F114" s="395"/>
      <c r="G114" s="395"/>
      <c r="H114" s="611"/>
      <c r="I114" s="611"/>
      <c r="J114" s="395"/>
      <c r="K114" s="395"/>
      <c r="L114" s="670">
        <f>'поступления 831, 841 26-28'!H22</f>
        <v>0</v>
      </c>
      <c r="M114" s="670">
        <v>0</v>
      </c>
      <c r="N114" s="682">
        <v>0</v>
      </c>
      <c r="O114" s="364">
        <v>0</v>
      </c>
    </row>
    <row r="115" spans="1:15" s="356" customFormat="1" ht="17.399999999999999" customHeight="1" x14ac:dyDescent="0.3">
      <c r="A115" s="464" t="s">
        <v>606</v>
      </c>
      <c r="B115" s="411" t="s">
        <v>491</v>
      </c>
      <c r="C115" s="395" t="s">
        <v>341</v>
      </c>
      <c r="D115" s="395" t="s">
        <v>457</v>
      </c>
      <c r="E115" s="395" t="s">
        <v>483</v>
      </c>
      <c r="F115" s="395" t="s">
        <v>341</v>
      </c>
      <c r="G115" s="395" t="s">
        <v>458</v>
      </c>
      <c r="H115" s="611" t="s">
        <v>341</v>
      </c>
      <c r="I115" s="611"/>
      <c r="J115" s="395" t="s">
        <v>459</v>
      </c>
      <c r="K115" s="395" t="s">
        <v>457</v>
      </c>
      <c r="L115" s="676">
        <v>0</v>
      </c>
      <c r="M115" s="676">
        <v>0</v>
      </c>
      <c r="N115" s="687">
        <v>0</v>
      </c>
      <c r="O115" s="364">
        <v>0</v>
      </c>
    </row>
    <row r="116" spans="1:15" s="356" customFormat="1" ht="16.2" customHeight="1" x14ac:dyDescent="0.3">
      <c r="A116" s="464" t="s">
        <v>607</v>
      </c>
      <c r="B116" s="411" t="s">
        <v>546</v>
      </c>
      <c r="C116" s="395" t="s">
        <v>341</v>
      </c>
      <c r="D116" s="395" t="s">
        <v>457</v>
      </c>
      <c r="E116" s="395" t="s">
        <v>483</v>
      </c>
      <c r="F116" s="395" t="s">
        <v>341</v>
      </c>
      <c r="G116" s="395" t="s">
        <v>458</v>
      </c>
      <c r="H116" s="611" t="s">
        <v>341</v>
      </c>
      <c r="I116" s="611"/>
      <c r="J116" s="395" t="s">
        <v>459</v>
      </c>
      <c r="K116" s="395" t="s">
        <v>457</v>
      </c>
      <c r="L116" s="676">
        <v>0</v>
      </c>
      <c r="M116" s="676">
        <v>0</v>
      </c>
      <c r="N116" s="687">
        <v>0</v>
      </c>
      <c r="O116" s="364">
        <v>0</v>
      </c>
    </row>
    <row r="117" spans="1:15" s="356" customFormat="1" ht="28.2" customHeight="1" thickBot="1" x14ac:dyDescent="0.35">
      <c r="A117" s="472" t="s">
        <v>608</v>
      </c>
      <c r="B117" s="427" t="s">
        <v>553</v>
      </c>
      <c r="C117" s="428" t="s">
        <v>609</v>
      </c>
      <c r="D117" s="428" t="s">
        <v>457</v>
      </c>
      <c r="E117" s="428" t="s">
        <v>483</v>
      </c>
      <c r="F117" s="428" t="s">
        <v>341</v>
      </c>
      <c r="G117" s="428" t="s">
        <v>458</v>
      </c>
      <c r="H117" s="616" t="s">
        <v>341</v>
      </c>
      <c r="I117" s="616"/>
      <c r="J117" s="428" t="s">
        <v>459</v>
      </c>
      <c r="K117" s="428" t="s">
        <v>457</v>
      </c>
      <c r="L117" s="680">
        <f>'постуления 820 26-28'!I11</f>
        <v>0</v>
      </c>
      <c r="M117" s="680">
        <v>0</v>
      </c>
      <c r="N117" s="680">
        <v>0</v>
      </c>
      <c r="O117" s="419">
        <v>0</v>
      </c>
    </row>
    <row r="118" spans="1:15" s="355" customFormat="1" ht="32.25" customHeight="1" x14ac:dyDescent="0.25">
      <c r="A118" s="355" t="s">
        <v>654</v>
      </c>
      <c r="B118" s="1573" t="s">
        <v>882</v>
      </c>
      <c r="C118" s="1573"/>
      <c r="D118" s="1573"/>
    </row>
    <row r="119" spans="1:15" s="355" customFormat="1" ht="15.6" hidden="1" customHeight="1" x14ac:dyDescent="0.25">
      <c r="B119" s="442"/>
      <c r="C119" s="442"/>
      <c r="D119" s="442"/>
    </row>
    <row r="120" spans="1:15" s="355" customFormat="1" ht="15.6" x14ac:dyDescent="0.25">
      <c r="A120" s="355" t="s">
        <v>655</v>
      </c>
      <c r="B120" s="442"/>
      <c r="C120" s="442"/>
      <c r="D120" s="442"/>
    </row>
    <row r="121" spans="1:15" s="355" customFormat="1" ht="15.6" x14ac:dyDescent="0.25">
      <c r="A121" s="443" t="s">
        <v>259</v>
      </c>
      <c r="B121" s="473" t="s">
        <v>841</v>
      </c>
      <c r="C121" s="443"/>
      <c r="D121" s="443"/>
      <c r="E121" s="443"/>
      <c r="F121" s="443"/>
      <c r="G121" s="443"/>
      <c r="H121" s="443"/>
      <c r="I121" s="443"/>
      <c r="J121" s="443"/>
      <c r="K121" s="443"/>
      <c r="L121" s="443"/>
      <c r="M121" s="443"/>
      <c r="N121" s="443"/>
      <c r="O121" s="443"/>
    </row>
    <row r="122" spans="1:15" s="355" customFormat="1" ht="15.6" x14ac:dyDescent="0.25">
      <c r="A122" s="1561" t="s">
        <v>639</v>
      </c>
      <c r="B122" s="1561"/>
      <c r="C122" s="1561"/>
      <c r="D122" s="1561"/>
      <c r="E122" s="1561"/>
      <c r="F122" s="1561"/>
      <c r="G122" s="1561"/>
      <c r="H122" s="1561"/>
      <c r="I122" s="1561"/>
      <c r="J122" s="1561"/>
      <c r="K122" s="1561"/>
      <c r="L122" s="1561"/>
      <c r="M122" s="1561"/>
    </row>
    <row r="123" spans="1:15" s="355" customFormat="1" ht="15.6" x14ac:dyDescent="0.25">
      <c r="A123" s="1562" t="s">
        <v>640</v>
      </c>
      <c r="B123" s="1562"/>
      <c r="C123" s="1562"/>
      <c r="D123" s="1562"/>
      <c r="E123" s="1562"/>
      <c r="F123" s="1562"/>
      <c r="G123" s="1562"/>
      <c r="H123" s="1562"/>
      <c r="I123" s="1562"/>
      <c r="J123" s="1562"/>
      <c r="K123" s="1562"/>
      <c r="L123" s="1562"/>
      <c r="M123" s="1562"/>
    </row>
    <row r="124" spans="1:15" s="355" customFormat="1" ht="15.6" x14ac:dyDescent="0.25">
      <c r="A124" s="1562" t="s">
        <v>641</v>
      </c>
      <c r="B124" s="1562"/>
      <c r="C124" s="1562"/>
      <c r="D124" s="1562"/>
      <c r="E124" s="1562"/>
      <c r="F124" s="1562"/>
      <c r="G124" s="1562"/>
      <c r="H124" s="1562"/>
      <c r="I124" s="1562"/>
      <c r="J124" s="1562"/>
      <c r="K124" s="1562"/>
      <c r="L124" s="1562"/>
      <c r="M124" s="1562"/>
    </row>
    <row r="125" spans="1:15" s="355" customFormat="1" ht="15.6" x14ac:dyDescent="0.25">
      <c r="A125" s="1562" t="s">
        <v>642</v>
      </c>
      <c r="B125" s="1562"/>
      <c r="C125" s="1562"/>
      <c r="D125" s="1562"/>
      <c r="E125" s="1562"/>
      <c r="F125" s="1562"/>
      <c r="G125" s="1562"/>
      <c r="H125" s="1562"/>
      <c r="I125" s="1562"/>
      <c r="J125" s="1562"/>
      <c r="K125" s="1562"/>
      <c r="L125" s="1562"/>
      <c r="M125" s="1562"/>
    </row>
    <row r="126" spans="1:15" s="355" customFormat="1" ht="15.6" x14ac:dyDescent="0.25">
      <c r="A126" s="1562" t="s">
        <v>643</v>
      </c>
      <c r="B126" s="1562"/>
      <c r="C126" s="1562"/>
      <c r="D126" s="1562"/>
      <c r="E126" s="1562"/>
      <c r="F126" s="1562"/>
      <c r="G126" s="1562"/>
      <c r="H126" s="1562"/>
      <c r="I126" s="1562"/>
      <c r="J126" s="1562"/>
      <c r="K126" s="1562"/>
      <c r="L126" s="1562"/>
      <c r="M126" s="1562"/>
    </row>
    <row r="127" spans="1:15" s="355" customFormat="1" ht="15.6" x14ac:dyDescent="0.25">
      <c r="A127" s="1562" t="s">
        <v>644</v>
      </c>
      <c r="B127" s="1562"/>
      <c r="C127" s="1562"/>
      <c r="D127" s="1562"/>
      <c r="E127" s="1562"/>
      <c r="F127" s="1562"/>
      <c r="G127" s="1562"/>
      <c r="H127" s="1562"/>
      <c r="I127" s="1562"/>
      <c r="J127" s="1562"/>
      <c r="K127" s="1562"/>
      <c r="L127" s="1562"/>
      <c r="M127" s="1562"/>
    </row>
    <row r="128" spans="1:15" s="355" customFormat="1" ht="15.6" x14ac:dyDescent="0.25">
      <c r="A128" s="1559" t="s">
        <v>645</v>
      </c>
      <c r="B128" s="1559"/>
      <c r="C128" s="1559"/>
      <c r="D128" s="1559"/>
      <c r="E128" s="1559"/>
      <c r="F128" s="1559"/>
      <c r="G128" s="1559"/>
      <c r="H128" s="1559"/>
      <c r="I128" s="1559"/>
      <c r="J128" s="1559"/>
      <c r="K128" s="1559"/>
      <c r="L128" s="1559"/>
      <c r="M128" s="1559"/>
    </row>
    <row r="129" spans="1:13" s="355" customFormat="1" ht="15.6" x14ac:dyDescent="0.25">
      <c r="A129" s="1562" t="s">
        <v>646</v>
      </c>
      <c r="B129" s="1562"/>
      <c r="C129" s="1562"/>
      <c r="D129" s="1562"/>
      <c r="E129" s="1562"/>
      <c r="F129" s="1562"/>
      <c r="G129" s="1562"/>
      <c r="H129" s="1562"/>
      <c r="I129" s="1562"/>
      <c r="J129" s="1562"/>
      <c r="K129" s="1562"/>
      <c r="L129" s="1562"/>
      <c r="M129" s="1562"/>
    </row>
    <row r="130" spans="1:13" s="355" customFormat="1" ht="32.4" customHeight="1" x14ac:dyDescent="0.25">
      <c r="A130" s="1559" t="s">
        <v>647</v>
      </c>
      <c r="B130" s="1559"/>
      <c r="C130" s="1559"/>
      <c r="D130" s="1559"/>
      <c r="E130" s="1559"/>
      <c r="F130" s="1559"/>
      <c r="G130" s="1559"/>
      <c r="H130" s="1559"/>
      <c r="I130" s="1559"/>
      <c r="J130" s="1559"/>
      <c r="K130" s="1559"/>
      <c r="L130" s="1559"/>
      <c r="M130" s="1559"/>
    </row>
    <row r="131" spans="1:13" s="355" customFormat="1" ht="48.6" customHeight="1" x14ac:dyDescent="0.25">
      <c r="A131" s="1559" t="s">
        <v>648</v>
      </c>
      <c r="B131" s="1559"/>
      <c r="C131" s="1559"/>
      <c r="D131" s="1559"/>
      <c r="E131" s="1559"/>
      <c r="F131" s="1559"/>
      <c r="G131" s="1559"/>
      <c r="H131" s="1559"/>
      <c r="I131" s="1559"/>
      <c r="J131" s="1559"/>
      <c r="K131" s="1559"/>
      <c r="L131" s="1559"/>
      <c r="M131" s="1559"/>
    </row>
    <row r="132" spans="1:13" s="355" customFormat="1" ht="18.600000000000001" customHeight="1" x14ac:dyDescent="0.25">
      <c r="A132" s="1562" t="s">
        <v>649</v>
      </c>
      <c r="B132" s="1562"/>
      <c r="C132" s="1562"/>
      <c r="D132" s="1562"/>
      <c r="E132" s="1562"/>
      <c r="F132" s="1562"/>
      <c r="G132" s="1562"/>
      <c r="H132" s="1562"/>
      <c r="I132" s="1562"/>
      <c r="J132" s="1562"/>
      <c r="K132" s="1562"/>
      <c r="L132" s="1562"/>
      <c r="M132" s="1562"/>
    </row>
    <row r="133" spans="1:13" s="355" customFormat="1" ht="15.6" x14ac:dyDescent="0.25">
      <c r="A133" s="1562" t="s">
        <v>650</v>
      </c>
      <c r="B133" s="1562"/>
      <c r="C133" s="1562"/>
      <c r="D133" s="1562"/>
      <c r="E133" s="1562"/>
      <c r="F133" s="1562"/>
      <c r="G133" s="1562"/>
      <c r="H133" s="1562"/>
      <c r="I133" s="1562"/>
      <c r="J133" s="1562"/>
      <c r="K133" s="1562"/>
      <c r="L133" s="1562"/>
      <c r="M133" s="1562"/>
    </row>
    <row r="134" spans="1:13" s="355" customFormat="1" ht="51.6" customHeight="1" x14ac:dyDescent="0.25">
      <c r="A134" s="1559" t="s">
        <v>653</v>
      </c>
      <c r="B134" s="1559"/>
      <c r="C134" s="1559"/>
      <c r="D134" s="1559"/>
      <c r="E134" s="1559"/>
      <c r="F134" s="1559"/>
      <c r="G134" s="1559"/>
      <c r="H134" s="1559"/>
      <c r="I134" s="1559"/>
      <c r="J134" s="1559"/>
      <c r="K134" s="1559"/>
      <c r="L134" s="1559"/>
      <c r="M134" s="1559"/>
    </row>
  </sheetData>
  <mergeCells count="52">
    <mergeCell ref="R36:S36"/>
    <mergeCell ref="R37:S37"/>
    <mergeCell ref="M17:N17"/>
    <mergeCell ref="M18:N18"/>
    <mergeCell ref="A13:M13"/>
    <mergeCell ref="K17:L17"/>
    <mergeCell ref="K18:L18"/>
    <mergeCell ref="A24:O24"/>
    <mergeCell ref="A27:A29"/>
    <mergeCell ref="B27:B29"/>
    <mergeCell ref="C27:C29"/>
    <mergeCell ref="D27:D29"/>
    <mergeCell ref="E27:E29"/>
    <mergeCell ref="F27:F29"/>
    <mergeCell ref="G27:G29"/>
    <mergeCell ref="L27:O27"/>
    <mergeCell ref="O28:O29"/>
    <mergeCell ref="B15:H15"/>
    <mergeCell ref="J8:K8"/>
    <mergeCell ref="N8:O8"/>
    <mergeCell ref="U7:V7"/>
    <mergeCell ref="R9:V9"/>
    <mergeCell ref="T1:V1"/>
    <mergeCell ref="R2:V2"/>
    <mergeCell ref="R4:V4"/>
    <mergeCell ref="R5:V5"/>
    <mergeCell ref="R6:V6"/>
    <mergeCell ref="A133:M133"/>
    <mergeCell ref="A134:M134"/>
    <mergeCell ref="A125:M125"/>
    <mergeCell ref="A126:M126"/>
    <mergeCell ref="A127:M127"/>
    <mergeCell ref="A128:M128"/>
    <mergeCell ref="A129:M129"/>
    <mergeCell ref="A131:M131"/>
    <mergeCell ref="A132:M132"/>
    <mergeCell ref="J1:O1"/>
    <mergeCell ref="A130:M130"/>
    <mergeCell ref="N7:O7"/>
    <mergeCell ref="A122:M122"/>
    <mergeCell ref="A123:M123"/>
    <mergeCell ref="A124:M124"/>
    <mergeCell ref="A11:M11"/>
    <mergeCell ref="A12:M12"/>
    <mergeCell ref="H27:H29"/>
    <mergeCell ref="I27:I29"/>
    <mergeCell ref="J27:J29"/>
    <mergeCell ref="K27:K29"/>
    <mergeCell ref="J3:O3"/>
    <mergeCell ref="J4:O4"/>
    <mergeCell ref="J9:M9"/>
    <mergeCell ref="B118:D118"/>
  </mergeCells>
  <pageMargins left="0.59055118110236227" right="0.51181102362204722" top="0.78740157480314965" bottom="0.31496062992125984" header="0.19685039370078741" footer="0.19685039370078741"/>
  <pageSetup paperSize="9" scale="35" fitToHeight="0" orientation="landscape" r:id="rId1"/>
  <rowBreaks count="2" manualBreakCount="2">
    <brk id="65" max="26" man="1"/>
    <brk id="121" max="26"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pageSetUpPr fitToPage="1"/>
  </sheetPr>
  <dimension ref="A2:G78"/>
  <sheetViews>
    <sheetView view="pageBreakPreview" zoomScale="85" zoomScaleNormal="90" zoomScaleSheetLayoutView="85" workbookViewId="0">
      <pane ySplit="6" topLeftCell="A7" activePane="bottomLeft" state="frozen"/>
      <selection pane="bottomLeft" activeCell="A2" sqref="A2:F2"/>
    </sheetView>
  </sheetViews>
  <sheetFormatPr defaultColWidth="9.33203125" defaultRowHeight="13.8" x14ac:dyDescent="0.25"/>
  <cols>
    <col min="1" max="1" width="85.33203125" style="298" customWidth="1"/>
    <col min="2" max="2" width="7.77734375" style="336" customWidth="1"/>
    <col min="3" max="3" width="19.109375" style="298" customWidth="1"/>
    <col min="4" max="4" width="20.44140625" style="298" customWidth="1"/>
    <col min="5" max="5" width="19.109375" style="298" customWidth="1"/>
    <col min="6" max="6" width="22" style="298" customWidth="1"/>
    <col min="7" max="16384" width="9.33203125" style="298"/>
  </cols>
  <sheetData>
    <row r="2" spans="1:6" x14ac:dyDescent="0.25">
      <c r="A2" s="1592" t="s">
        <v>917</v>
      </c>
      <c r="B2" s="1592"/>
      <c r="C2" s="1592"/>
      <c r="D2" s="1592"/>
      <c r="E2" s="1592"/>
      <c r="F2" s="1592"/>
    </row>
    <row r="3" spans="1:6" x14ac:dyDescent="0.25">
      <c r="A3" s="503"/>
      <c r="B3" s="516"/>
      <c r="C3" s="503"/>
      <c r="D3" s="503"/>
      <c r="E3" s="503"/>
      <c r="F3" s="517"/>
    </row>
    <row r="4" spans="1:6" x14ac:dyDescent="0.25">
      <c r="A4" s="1593" t="s">
        <v>183</v>
      </c>
      <c r="B4" s="1594" t="s">
        <v>184</v>
      </c>
      <c r="C4" s="1593" t="s">
        <v>185</v>
      </c>
      <c r="D4" s="1593"/>
      <c r="E4" s="1593"/>
      <c r="F4" s="1595" t="s">
        <v>237</v>
      </c>
    </row>
    <row r="5" spans="1:6" x14ac:dyDescent="0.25">
      <c r="A5" s="1593"/>
      <c r="B5" s="1594"/>
      <c r="C5" s="1049" t="s">
        <v>692</v>
      </c>
      <c r="D5" s="1049" t="s">
        <v>842</v>
      </c>
      <c r="E5" s="1049" t="s">
        <v>885</v>
      </c>
      <c r="F5" s="1596"/>
    </row>
    <row r="6" spans="1:6" x14ac:dyDescent="0.25">
      <c r="A6" s="1045">
        <v>1</v>
      </c>
      <c r="B6" s="1046">
        <v>2</v>
      </c>
      <c r="C6" s="1045">
        <v>3</v>
      </c>
      <c r="D6" s="1045">
        <v>4</v>
      </c>
      <c r="E6" s="1045">
        <v>5</v>
      </c>
      <c r="F6" s="1045">
        <v>6</v>
      </c>
    </row>
    <row r="7" spans="1:6" ht="21" customHeight="1" x14ac:dyDescent="0.25">
      <c r="A7" s="1597" t="s">
        <v>762</v>
      </c>
      <c r="B7" s="1598"/>
      <c r="C7" s="1598"/>
      <c r="D7" s="1598"/>
      <c r="E7" s="1598"/>
      <c r="F7" s="1599"/>
    </row>
    <row r="8" spans="1:6" hidden="1" x14ac:dyDescent="0.25">
      <c r="A8" s="304" t="s">
        <v>238</v>
      </c>
      <c r="B8" s="335" t="s">
        <v>397</v>
      </c>
      <c r="C8" s="1045"/>
      <c r="D8" s="1045"/>
      <c r="E8" s="1045"/>
      <c r="F8" s="518"/>
    </row>
    <row r="9" spans="1:6" ht="27.6" hidden="1" x14ac:dyDescent="0.25">
      <c r="A9" s="304" t="s">
        <v>239</v>
      </c>
      <c r="B9" s="335" t="s">
        <v>398</v>
      </c>
      <c r="C9" s="1045"/>
      <c r="D9" s="1045"/>
      <c r="E9" s="1045"/>
      <c r="F9" s="518"/>
    </row>
    <row r="10" spans="1:6" s="308" customFormat="1" x14ac:dyDescent="0.25">
      <c r="A10" s="348" t="s">
        <v>240</v>
      </c>
      <c r="B10" s="349" t="s">
        <v>399</v>
      </c>
      <c r="C10" s="350">
        <f>C11+C13+C14+C15+C16+C17+C18+C19+C20+C12</f>
        <v>0</v>
      </c>
      <c r="D10" s="350">
        <f>D11+D13+D14+D15+D16+D17+D18+D19+D20+D12</f>
        <v>0</v>
      </c>
      <c r="E10" s="350">
        <f>E11+E13+E14+E15+E16+E17+E18+E19+E20+E12</f>
        <v>0</v>
      </c>
      <c r="F10" s="350">
        <f>F11+F13+F14+F15+F16+F17+F18+F19+F20</f>
        <v>0</v>
      </c>
    </row>
    <row r="11" spans="1:6" x14ac:dyDescent="0.25">
      <c r="A11" s="302" t="s">
        <v>203</v>
      </c>
      <c r="B11" s="1591" t="s">
        <v>400</v>
      </c>
      <c r="C11" s="322"/>
      <c r="D11" s="311"/>
      <c r="E11" s="311"/>
      <c r="F11" s="311"/>
    </row>
    <row r="12" spans="1:6" ht="27.6" x14ac:dyDescent="0.25">
      <c r="A12" s="302" t="s">
        <v>241</v>
      </c>
      <c r="B12" s="1591"/>
      <c r="C12" s="512"/>
      <c r="D12" s="505"/>
      <c r="E12" s="505"/>
      <c r="F12" s="519">
        <v>0</v>
      </c>
    </row>
    <row r="13" spans="1:6" x14ac:dyDescent="0.25">
      <c r="A13" s="302" t="s">
        <v>242</v>
      </c>
      <c r="B13" s="1044" t="s">
        <v>401</v>
      </c>
      <c r="C13" s="512"/>
      <c r="D13" s="505"/>
      <c r="E13" s="505"/>
      <c r="F13" s="519"/>
    </row>
    <row r="14" spans="1:6" x14ac:dyDescent="0.25">
      <c r="A14" s="302" t="s">
        <v>243</v>
      </c>
      <c r="B14" s="1044" t="s">
        <v>402</v>
      </c>
      <c r="C14" s="352"/>
      <c r="D14" s="505"/>
      <c r="E14" s="505"/>
      <c r="F14" s="519"/>
    </row>
    <row r="15" spans="1:6" ht="27.6" x14ac:dyDescent="0.25">
      <c r="A15" s="302" t="s">
        <v>244</v>
      </c>
      <c r="B15" s="1044" t="s">
        <v>403</v>
      </c>
      <c r="C15" s="352"/>
      <c r="D15" s="505"/>
      <c r="E15" s="505"/>
      <c r="F15" s="519"/>
    </row>
    <row r="16" spans="1:6" x14ac:dyDescent="0.25">
      <c r="A16" s="302" t="s">
        <v>245</v>
      </c>
      <c r="B16" s="1044" t="s">
        <v>404</v>
      </c>
      <c r="C16" s="352"/>
      <c r="D16" s="505"/>
      <c r="E16" s="505"/>
      <c r="F16" s="519"/>
    </row>
    <row r="17" spans="1:6" x14ac:dyDescent="0.25">
      <c r="A17" s="302" t="s">
        <v>246</v>
      </c>
      <c r="B17" s="1044" t="s">
        <v>405</v>
      </c>
      <c r="C17" s="352"/>
      <c r="D17" s="505"/>
      <c r="E17" s="505"/>
      <c r="F17" s="519"/>
    </row>
    <row r="18" spans="1:6" ht="41.4" x14ac:dyDescent="0.25">
      <c r="A18" s="304" t="s">
        <v>247</v>
      </c>
      <c r="B18" s="338" t="s">
        <v>406</v>
      </c>
      <c r="C18" s="352"/>
      <c r="D18" s="505"/>
      <c r="E18" s="505"/>
      <c r="F18" s="519"/>
    </row>
    <row r="19" spans="1:6" ht="27.6" x14ac:dyDescent="0.25">
      <c r="A19" s="304" t="s">
        <v>248</v>
      </c>
      <c r="B19" s="338" t="s">
        <v>407</v>
      </c>
      <c r="C19" s="352"/>
      <c r="D19" s="505"/>
      <c r="E19" s="505"/>
      <c r="F19" s="519"/>
    </row>
    <row r="20" spans="1:6" ht="27.6" x14ac:dyDescent="0.25">
      <c r="A20" s="304" t="s">
        <v>249</v>
      </c>
      <c r="B20" s="338" t="s">
        <v>408</v>
      </c>
      <c r="C20" s="352"/>
      <c r="D20" s="505"/>
      <c r="E20" s="505"/>
      <c r="F20" s="519"/>
    </row>
    <row r="21" spans="1:6" hidden="1" x14ac:dyDescent="0.25">
      <c r="A21" s="304" t="s">
        <v>250</v>
      </c>
      <c r="B21" s="338" t="s">
        <v>409</v>
      </c>
      <c r="C21" s="505"/>
      <c r="D21" s="505"/>
      <c r="E21" s="505"/>
      <c r="F21" s="519"/>
    </row>
    <row r="22" spans="1:6" ht="27.6" hidden="1" x14ac:dyDescent="0.25">
      <c r="A22" s="304" t="s">
        <v>251</v>
      </c>
      <c r="B22" s="338" t="s">
        <v>410</v>
      </c>
      <c r="C22" s="505"/>
      <c r="D22" s="505"/>
      <c r="E22" s="505"/>
      <c r="F22" s="519"/>
    </row>
    <row r="23" spans="1:6" s="300" customFormat="1" ht="27.6" x14ac:dyDescent="0.25">
      <c r="A23" s="299" t="s">
        <v>412</v>
      </c>
      <c r="B23" s="335" t="s">
        <v>411</v>
      </c>
      <c r="C23" s="353">
        <f>C8-C9+C10-C21+C22</f>
        <v>0</v>
      </c>
      <c r="D23" s="353">
        <f>D8-D9+D10-D21+D22</f>
        <v>0</v>
      </c>
      <c r="E23" s="353">
        <f>E8-E9+E10-E21+E22</f>
        <v>0</v>
      </c>
      <c r="F23" s="353">
        <f>F8-F9+F10-F21+F22</f>
        <v>0</v>
      </c>
    </row>
    <row r="24" spans="1:6" ht="25.95" customHeight="1" x14ac:dyDescent="0.25">
      <c r="A24" s="1597" t="s">
        <v>731</v>
      </c>
      <c r="B24" s="1598"/>
      <c r="C24" s="1598"/>
      <c r="D24" s="1598"/>
      <c r="E24" s="1598"/>
      <c r="F24" s="1599"/>
    </row>
    <row r="25" spans="1:6" hidden="1" x14ac:dyDescent="0.25">
      <c r="A25" s="299" t="s">
        <v>238</v>
      </c>
      <c r="B25" s="335" t="s">
        <v>397</v>
      </c>
      <c r="C25" s="505"/>
      <c r="D25" s="505"/>
      <c r="E25" s="505"/>
      <c r="F25" s="519"/>
    </row>
    <row r="26" spans="1:6" ht="27.6" hidden="1" x14ac:dyDescent="0.25">
      <c r="A26" s="299" t="s">
        <v>239</v>
      </c>
      <c r="B26" s="335" t="s">
        <v>398</v>
      </c>
      <c r="C26" s="505"/>
      <c r="D26" s="505"/>
      <c r="E26" s="505"/>
      <c r="F26" s="519"/>
    </row>
    <row r="27" spans="1:6" x14ac:dyDescent="0.25">
      <c r="A27" s="348" t="s">
        <v>254</v>
      </c>
      <c r="B27" s="349" t="s">
        <v>399</v>
      </c>
      <c r="C27" s="350">
        <f>C29+C30+C31+C32+C33+C34</f>
        <v>61083800</v>
      </c>
      <c r="D27" s="350">
        <f t="shared" ref="D27" si="0">D29+D30+D31+D32</f>
        <v>61358600</v>
      </c>
      <c r="E27" s="350">
        <f>E29+E30+E31+E32</f>
        <v>61620600</v>
      </c>
      <c r="F27" s="350">
        <f>F29+F30+F31+F32</f>
        <v>0</v>
      </c>
    </row>
    <row r="28" spans="1:6" x14ac:dyDescent="0.25">
      <c r="A28" s="302" t="s">
        <v>203</v>
      </c>
      <c r="B28" s="1591" t="s">
        <v>400</v>
      </c>
      <c r="C28" s="1057"/>
      <c r="D28" s="1057"/>
      <c r="E28" s="520"/>
      <c r="F28" s="520"/>
    </row>
    <row r="29" spans="1:6" x14ac:dyDescent="0.25">
      <c r="A29" s="302" t="s">
        <v>622</v>
      </c>
      <c r="B29" s="1591"/>
      <c r="C29" s="1048">
        <f>'поступления 831, 841 26-28'!F10</f>
        <v>55740300</v>
      </c>
      <c r="D29" s="1048">
        <f>'поступления 831, 841 26-28'!H10</f>
        <v>55740300</v>
      </c>
      <c r="E29" s="1048">
        <f>'поступления 831, 841 26-28'!I10</f>
        <v>55740300</v>
      </c>
      <c r="F29" s="484">
        <v>0</v>
      </c>
    </row>
    <row r="30" spans="1:6" ht="27.6" x14ac:dyDescent="0.25">
      <c r="A30" s="302" t="s">
        <v>255</v>
      </c>
      <c r="B30" s="1044" t="s">
        <v>401</v>
      </c>
      <c r="C30" s="1048">
        <f>'поступления 810 26-28'!AF19</f>
        <v>3586300</v>
      </c>
      <c r="D30" s="1048">
        <f>'поступления 810 26-28'!AG19</f>
        <v>3772800</v>
      </c>
      <c r="E30" s="1048">
        <f>'поступления 810 26-28'!AH19</f>
        <v>3946400</v>
      </c>
      <c r="F30" s="343">
        <v>0</v>
      </c>
    </row>
    <row r="31" spans="1:6" ht="27.6" x14ac:dyDescent="0.25">
      <c r="A31" s="302" t="s">
        <v>256</v>
      </c>
      <c r="B31" s="1044" t="s">
        <v>402</v>
      </c>
      <c r="C31" s="352">
        <f>'поступления 810 26-28'!I37+'поступления 810 26-28'!G48</f>
        <v>1757200</v>
      </c>
      <c r="D31" s="352">
        <f>'поступления 810 26-28'!M37+'поступления 810 26-28'!K48</f>
        <v>1845500</v>
      </c>
      <c r="E31" s="352">
        <f>'поступления 810 26-28'!Q37+'поступления 810 26-28'!O48</f>
        <v>1933900</v>
      </c>
      <c r="F31" s="343">
        <v>0</v>
      </c>
    </row>
    <row r="32" spans="1:6" ht="27.6" x14ac:dyDescent="0.25">
      <c r="A32" s="342" t="s">
        <v>257</v>
      </c>
      <c r="B32" s="1044" t="s">
        <v>403</v>
      </c>
      <c r="C32" s="352"/>
      <c r="D32" s="352"/>
      <c r="E32" s="352"/>
      <c r="F32" s="343">
        <v>0</v>
      </c>
    </row>
    <row r="33" spans="1:6" x14ac:dyDescent="0.25">
      <c r="A33" s="1058" t="s">
        <v>651</v>
      </c>
      <c r="B33" s="1044" t="s">
        <v>404</v>
      </c>
      <c r="C33" s="352">
        <f>'поступления 810 26-28'!E67</f>
        <v>0</v>
      </c>
      <c r="D33" s="352">
        <f>'поступления 810 26-28'!F66</f>
        <v>0</v>
      </c>
      <c r="E33" s="352">
        <f>'поступления 810 26-28'!G66</f>
        <v>0</v>
      </c>
      <c r="F33" s="343"/>
    </row>
    <row r="34" spans="1:6" ht="27.6" x14ac:dyDescent="0.25">
      <c r="A34" s="1059" t="s">
        <v>305</v>
      </c>
      <c r="B34" s="1044" t="s">
        <v>405</v>
      </c>
      <c r="C34" s="352">
        <f>'поступления 810 26-28'!E75</f>
        <v>0</v>
      </c>
      <c r="D34" s="352">
        <f>'поступления 810 26-28'!F75</f>
        <v>0</v>
      </c>
      <c r="E34" s="352">
        <f>'поступления 810 26-28'!G75</f>
        <v>0</v>
      </c>
      <c r="F34" s="343"/>
    </row>
    <row r="35" spans="1:6" hidden="1" x14ac:dyDescent="0.25">
      <c r="A35" s="508" t="s">
        <v>250</v>
      </c>
      <c r="B35" s="335" t="s">
        <v>409</v>
      </c>
      <c r="C35" s="505"/>
      <c r="D35" s="505"/>
      <c r="E35" s="505"/>
      <c r="F35" s="519"/>
    </row>
    <row r="36" spans="1:6" ht="27.6" hidden="1" x14ac:dyDescent="0.25">
      <c r="A36" s="299" t="s">
        <v>251</v>
      </c>
      <c r="B36" s="335" t="s">
        <v>410</v>
      </c>
      <c r="C36" s="505"/>
      <c r="D36" s="505"/>
      <c r="E36" s="505"/>
      <c r="F36" s="519"/>
    </row>
    <row r="37" spans="1:6" ht="27.6" x14ac:dyDescent="0.25">
      <c r="A37" s="299" t="s">
        <v>362</v>
      </c>
      <c r="B37" s="335" t="s">
        <v>411</v>
      </c>
      <c r="C37" s="353">
        <f>C25-C26+C27-C35+C36</f>
        <v>61083800</v>
      </c>
      <c r="D37" s="353">
        <f>D25-D26+D27-D35+D36</f>
        <v>61358600</v>
      </c>
      <c r="E37" s="353">
        <f>E25-E26+E27-E35+E36</f>
        <v>61620600</v>
      </c>
      <c r="F37" s="353">
        <f>F25-F26+F27-F35+F36</f>
        <v>0</v>
      </c>
    </row>
    <row r="38" spans="1:6" ht="22.2" customHeight="1" x14ac:dyDescent="0.25">
      <c r="A38" s="1607" t="s">
        <v>732</v>
      </c>
      <c r="B38" s="1608"/>
      <c r="C38" s="1608"/>
      <c r="D38" s="1608"/>
      <c r="E38" s="1608"/>
      <c r="F38" s="1609"/>
    </row>
    <row r="39" spans="1:6" hidden="1" x14ac:dyDescent="0.25">
      <c r="A39" s="299" t="s">
        <v>238</v>
      </c>
      <c r="B39" s="335" t="s">
        <v>397</v>
      </c>
      <c r="C39" s="1045"/>
      <c r="D39" s="1045"/>
      <c r="E39" s="1045"/>
      <c r="F39" s="311"/>
    </row>
    <row r="40" spans="1:6" ht="27.6" hidden="1" x14ac:dyDescent="0.25">
      <c r="A40" s="299" t="s">
        <v>261</v>
      </c>
      <c r="B40" s="335" t="s">
        <v>398</v>
      </c>
      <c r="C40" s="1045"/>
      <c r="D40" s="1045"/>
      <c r="E40" s="1045"/>
      <c r="F40" s="311"/>
    </row>
    <row r="41" spans="1:6" x14ac:dyDescent="0.25">
      <c r="A41" s="348" t="s">
        <v>262</v>
      </c>
      <c r="B41" s="349" t="s">
        <v>399</v>
      </c>
      <c r="C41" s="350">
        <f>C42+C44+C45</f>
        <v>0</v>
      </c>
      <c r="D41" s="350">
        <f t="shared" ref="D41:F41" si="1">D42+D44+D45</f>
        <v>0</v>
      </c>
      <c r="E41" s="350">
        <f t="shared" si="1"/>
        <v>0</v>
      </c>
      <c r="F41" s="350">
        <f t="shared" si="1"/>
        <v>0</v>
      </c>
    </row>
    <row r="42" spans="1:6" s="341" customFormat="1" x14ac:dyDescent="0.25">
      <c r="A42" s="342" t="s">
        <v>203</v>
      </c>
      <c r="B42" s="1610" t="s">
        <v>400</v>
      </c>
      <c r="C42" s="1611">
        <f>'поступления 810 26-28'!E56</f>
        <v>0</v>
      </c>
      <c r="D42" s="1612">
        <f>'поступления 810 26-28'!F56</f>
        <v>0</v>
      </c>
      <c r="E42" s="1612">
        <f>'поступления 810 26-28'!G56</f>
        <v>0</v>
      </c>
      <c r="F42" s="706"/>
    </row>
    <row r="43" spans="1:6" s="341" customFormat="1" x14ac:dyDescent="0.25">
      <c r="A43" s="342" t="s">
        <v>263</v>
      </c>
      <c r="B43" s="1610"/>
      <c r="C43" s="1611"/>
      <c r="D43" s="1613"/>
      <c r="E43" s="1613"/>
      <c r="F43" s="706"/>
    </row>
    <row r="44" spans="1:6" s="341" customFormat="1" x14ac:dyDescent="0.25">
      <c r="A44" s="342" t="s">
        <v>264</v>
      </c>
      <c r="B44" s="1047" t="s">
        <v>401</v>
      </c>
      <c r="C44" s="1048">
        <f>'поступления 810 26-28'!E57</f>
        <v>0</v>
      </c>
      <c r="D44" s="1048">
        <f>'поступления 810 26-28'!F57</f>
        <v>0</v>
      </c>
      <c r="E44" s="1048">
        <f>'поступления 810 26-28'!G57</f>
        <v>0</v>
      </c>
      <c r="F44" s="706"/>
    </row>
    <row r="45" spans="1:6" s="341" customFormat="1" x14ac:dyDescent="0.25">
      <c r="A45" s="342" t="s">
        <v>265</v>
      </c>
      <c r="B45" s="1047" t="s">
        <v>402</v>
      </c>
      <c r="C45" s="1048">
        <f>'поступления 810 26-28'!E58</f>
        <v>0</v>
      </c>
      <c r="D45" s="1048">
        <f>'поступления 810 26-28'!F58</f>
        <v>0</v>
      </c>
      <c r="E45" s="1048">
        <f>'поступления 810 26-28'!G58</f>
        <v>0</v>
      </c>
      <c r="F45" s="706"/>
    </row>
    <row r="46" spans="1:6" hidden="1" x14ac:dyDescent="0.25">
      <c r="A46" s="299" t="s">
        <v>250</v>
      </c>
      <c r="B46" s="335" t="s">
        <v>409</v>
      </c>
      <c r="C46" s="1045"/>
      <c r="D46" s="1045"/>
      <c r="E46" s="1045"/>
      <c r="F46" s="311"/>
    </row>
    <row r="47" spans="1:6" ht="27.6" hidden="1" x14ac:dyDescent="0.25">
      <c r="A47" s="299" t="s">
        <v>266</v>
      </c>
      <c r="B47" s="335" t="s">
        <v>410</v>
      </c>
      <c r="C47" s="1045"/>
      <c r="D47" s="1045"/>
      <c r="E47" s="1045"/>
      <c r="F47" s="311"/>
    </row>
    <row r="48" spans="1:6" ht="27.6" x14ac:dyDescent="0.25">
      <c r="A48" s="299" t="s">
        <v>376</v>
      </c>
      <c r="B48" s="335" t="s">
        <v>411</v>
      </c>
      <c r="C48" s="353">
        <f>C39-C40+C41-C46+C47</f>
        <v>0</v>
      </c>
      <c r="D48" s="353">
        <f>D39-D40+D41-D46+D47</f>
        <v>0</v>
      </c>
      <c r="E48" s="353">
        <f>E39-E40+E41-E46+E47</f>
        <v>0</v>
      </c>
      <c r="F48" s="353">
        <f>F39-F40+F41-F46+F47</f>
        <v>0</v>
      </c>
    </row>
    <row r="49" spans="1:7" ht="19.2" customHeight="1" x14ac:dyDescent="0.25">
      <c r="A49" s="1603" t="s">
        <v>733</v>
      </c>
      <c r="B49" s="1604"/>
      <c r="C49" s="1604"/>
      <c r="D49" s="1604"/>
      <c r="E49" s="1604"/>
      <c r="F49" s="1605"/>
      <c r="G49" s="592"/>
    </row>
    <row r="50" spans="1:7" hidden="1" x14ac:dyDescent="0.25">
      <c r="A50" s="304" t="s">
        <v>238</v>
      </c>
      <c r="B50" s="338" t="s">
        <v>397</v>
      </c>
      <c r="C50" s="505"/>
      <c r="D50" s="311"/>
      <c r="E50" s="311"/>
      <c r="F50" s="311"/>
    </row>
    <row r="51" spans="1:7" ht="27.6" hidden="1" x14ac:dyDescent="0.25">
      <c r="A51" s="304" t="s">
        <v>239</v>
      </c>
      <c r="B51" s="338" t="s">
        <v>398</v>
      </c>
      <c r="C51" s="505"/>
      <c r="D51" s="311"/>
      <c r="E51" s="311"/>
      <c r="F51" s="311"/>
    </row>
    <row r="52" spans="1:7" x14ac:dyDescent="0.25">
      <c r="A52" s="348" t="s">
        <v>267</v>
      </c>
      <c r="B52" s="349" t="s">
        <v>399</v>
      </c>
      <c r="C52" s="350">
        <f>C53+C55+C56+C57</f>
        <v>0</v>
      </c>
      <c r="D52" s="350">
        <f t="shared" ref="D52:E52" si="2">D53+D55+D56+D57</f>
        <v>0</v>
      </c>
      <c r="E52" s="350">
        <f t="shared" si="2"/>
        <v>0</v>
      </c>
      <c r="F52" s="350">
        <f t="shared" ref="F52" si="3">F53+F55+F56+F57</f>
        <v>0</v>
      </c>
    </row>
    <row r="53" spans="1:7" x14ac:dyDescent="0.25">
      <c r="A53" s="302" t="s">
        <v>203</v>
      </c>
      <c r="B53" s="1591" t="s">
        <v>400</v>
      </c>
      <c r="C53" s="505"/>
      <c r="D53" s="311"/>
      <c r="E53" s="311"/>
      <c r="F53" s="311"/>
    </row>
    <row r="54" spans="1:7" x14ac:dyDescent="0.25">
      <c r="A54" s="302" t="s">
        <v>268</v>
      </c>
      <c r="B54" s="1591"/>
      <c r="C54" s="505"/>
      <c r="D54" s="311"/>
      <c r="E54" s="311"/>
      <c r="F54" s="311"/>
    </row>
    <row r="55" spans="1:7" ht="27.6" x14ac:dyDescent="0.25">
      <c r="A55" s="302" t="s">
        <v>269</v>
      </c>
      <c r="B55" s="1044" t="s">
        <v>401</v>
      </c>
      <c r="C55" s="505"/>
      <c r="D55" s="311"/>
      <c r="E55" s="311"/>
      <c r="F55" s="311"/>
    </row>
    <row r="56" spans="1:7" x14ac:dyDescent="0.25">
      <c r="A56" s="302" t="s">
        <v>270</v>
      </c>
      <c r="B56" s="1044" t="s">
        <v>402</v>
      </c>
      <c r="C56" s="505"/>
      <c r="D56" s="311"/>
      <c r="E56" s="311"/>
      <c r="F56" s="311"/>
    </row>
    <row r="57" spans="1:7" ht="27.6" x14ac:dyDescent="0.25">
      <c r="A57" s="302" t="s">
        <v>271</v>
      </c>
      <c r="B57" s="1044" t="s">
        <v>403</v>
      </c>
      <c r="C57" s="1048">
        <f>'постуления 820 26-28'!H12</f>
        <v>0</v>
      </c>
      <c r="D57" s="1048">
        <f>'постуления 820 26-28'!J10</f>
        <v>0</v>
      </c>
      <c r="E57" s="1048">
        <f>'постуления 820 26-28'!K10</f>
        <v>0</v>
      </c>
      <c r="F57" s="484"/>
    </row>
    <row r="58" spans="1:7" hidden="1" x14ac:dyDescent="0.25">
      <c r="A58" s="299" t="s">
        <v>250</v>
      </c>
      <c r="B58" s="338" t="s">
        <v>409</v>
      </c>
      <c r="C58" s="505"/>
      <c r="D58" s="311"/>
      <c r="E58" s="311"/>
      <c r="F58" s="311"/>
    </row>
    <row r="59" spans="1:7" ht="27.6" hidden="1" x14ac:dyDescent="0.25">
      <c r="A59" s="299" t="s">
        <v>251</v>
      </c>
      <c r="B59" s="338" t="s">
        <v>410</v>
      </c>
      <c r="C59" s="505"/>
      <c r="D59" s="311"/>
      <c r="E59" s="311"/>
      <c r="F59" s="311"/>
    </row>
    <row r="60" spans="1:7" ht="27.6" x14ac:dyDescent="0.25">
      <c r="A60" s="299" t="s">
        <v>362</v>
      </c>
      <c r="B60" s="338" t="s">
        <v>411</v>
      </c>
      <c r="C60" s="353">
        <f>C50-C51+C52-C58+C59</f>
        <v>0</v>
      </c>
      <c r="D60" s="353">
        <f t="shared" ref="D60:E60" si="4">D50-D51+D52-D58+D59</f>
        <v>0</v>
      </c>
      <c r="E60" s="353">
        <f t="shared" si="4"/>
        <v>0</v>
      </c>
      <c r="F60" s="353">
        <f t="shared" ref="F60" si="5">F50-F51+F52-F58+F59</f>
        <v>0</v>
      </c>
    </row>
    <row r="61" spans="1:7" ht="18" customHeight="1" x14ac:dyDescent="0.25">
      <c r="A61" s="1606" t="s">
        <v>763</v>
      </c>
      <c r="B61" s="1606"/>
      <c r="C61" s="1606"/>
      <c r="D61" s="1606"/>
      <c r="E61" s="1606"/>
      <c r="F61" s="1606"/>
      <c r="G61" s="592"/>
    </row>
    <row r="62" spans="1:7" hidden="1" x14ac:dyDescent="0.25">
      <c r="A62" s="304" t="s">
        <v>238</v>
      </c>
      <c r="B62" s="338" t="s">
        <v>397</v>
      </c>
      <c r="C62" s="311"/>
      <c r="D62" s="311"/>
      <c r="E62" s="311"/>
      <c r="F62" s="311"/>
    </row>
    <row r="63" spans="1:7" ht="27.6" hidden="1" x14ac:dyDescent="0.25">
      <c r="A63" s="304" t="s">
        <v>239</v>
      </c>
      <c r="B63" s="338" t="s">
        <v>398</v>
      </c>
      <c r="C63" s="311"/>
      <c r="D63" s="311"/>
      <c r="E63" s="311"/>
      <c r="F63" s="311"/>
    </row>
    <row r="64" spans="1:7" x14ac:dyDescent="0.25">
      <c r="A64" s="348" t="s">
        <v>276</v>
      </c>
      <c r="B64" s="349" t="s">
        <v>399</v>
      </c>
      <c r="C64" s="350">
        <f>SUM(C65:C68)</f>
        <v>1559600</v>
      </c>
      <c r="D64" s="350">
        <f t="shared" ref="D64:F64" si="6">SUM(D65:D68)</f>
        <v>1559600</v>
      </c>
      <c r="E64" s="350">
        <f t="shared" si="6"/>
        <v>1559600</v>
      </c>
      <c r="F64" s="350">
        <f t="shared" si="6"/>
        <v>0</v>
      </c>
    </row>
    <row r="65" spans="1:7" x14ac:dyDescent="0.25">
      <c r="A65" s="302" t="s">
        <v>203</v>
      </c>
      <c r="B65" s="1600" t="s">
        <v>400</v>
      </c>
      <c r="C65" s="311"/>
      <c r="D65" s="311"/>
      <c r="E65" s="311"/>
      <c r="F65" s="311"/>
    </row>
    <row r="66" spans="1:7" x14ac:dyDescent="0.25">
      <c r="A66" s="302" t="s">
        <v>759</v>
      </c>
      <c r="B66" s="1601"/>
      <c r="C66" s="525">
        <f>'поступления 831, 841 26-28'!F23+'поступления 831, 841 26-28'!H23</f>
        <v>1559600</v>
      </c>
      <c r="D66" s="525">
        <f>'поступления 831, 841 26-28'!J23</f>
        <v>1559600</v>
      </c>
      <c r="E66" s="525">
        <f>'поступления 831, 841 26-28'!J21</f>
        <v>1559600</v>
      </c>
      <c r="F66" s="311"/>
    </row>
    <row r="67" spans="1:7" x14ac:dyDescent="0.25">
      <c r="A67" s="302" t="s">
        <v>760</v>
      </c>
      <c r="B67" s="1602"/>
      <c r="C67" s="525">
        <f>'поступления 831, 841 26-28'!G23+'поступления 831, 841 26-28'!I23</f>
        <v>0</v>
      </c>
      <c r="D67" s="525">
        <f>'поступления 831, 841 26-28'!K23</f>
        <v>0</v>
      </c>
      <c r="E67" s="525">
        <f>'поступления 831, 841 26-28'!M23</f>
        <v>0</v>
      </c>
      <c r="F67" s="311"/>
    </row>
    <row r="68" spans="1:7" x14ac:dyDescent="0.25">
      <c r="A68" s="302" t="s">
        <v>278</v>
      </c>
      <c r="B68" s="1044" t="s">
        <v>401</v>
      </c>
      <c r="C68" s="311"/>
      <c r="D68" s="311"/>
      <c r="E68" s="311"/>
      <c r="F68" s="311"/>
      <c r="G68" s="298" t="s">
        <v>761</v>
      </c>
    </row>
    <row r="69" spans="1:7" hidden="1" x14ac:dyDescent="0.25">
      <c r="A69" s="304" t="s">
        <v>250</v>
      </c>
      <c r="B69" s="338" t="s">
        <v>409</v>
      </c>
      <c r="C69" s="311"/>
      <c r="D69" s="311"/>
      <c r="E69" s="311"/>
      <c r="F69" s="311"/>
    </row>
    <row r="70" spans="1:7" ht="27.6" hidden="1" x14ac:dyDescent="0.25">
      <c r="A70" s="304" t="s">
        <v>251</v>
      </c>
      <c r="B70" s="338" t="s">
        <v>410</v>
      </c>
      <c r="C70" s="311"/>
      <c r="D70" s="311"/>
      <c r="E70" s="311"/>
      <c r="F70" s="311"/>
    </row>
    <row r="71" spans="1:7" ht="27.6" x14ac:dyDescent="0.25">
      <c r="A71" s="304" t="s">
        <v>362</v>
      </c>
      <c r="B71" s="338" t="s">
        <v>411</v>
      </c>
      <c r="C71" s="526">
        <f>C62-C63+C64-C69+C70</f>
        <v>1559600</v>
      </c>
      <c r="D71" s="526">
        <f t="shared" ref="D71:F71" si="7">D62-D63+D64-D69+D70</f>
        <v>1559600</v>
      </c>
      <c r="E71" s="526">
        <f t="shared" si="7"/>
        <v>1559600</v>
      </c>
      <c r="F71" s="526">
        <f t="shared" si="7"/>
        <v>0</v>
      </c>
    </row>
    <row r="72" spans="1:7" x14ac:dyDescent="0.25">
      <c r="A72" s="716" t="s">
        <v>97</v>
      </c>
      <c r="B72" s="707"/>
      <c r="C72" s="708">
        <f>C10+C27+C41+C52+C64</f>
        <v>62643400</v>
      </c>
      <c r="D72" s="708">
        <f>D10+D27+D41+D52+D64</f>
        <v>62918200</v>
      </c>
      <c r="E72" s="708">
        <f>E10+E27+E41+E52+E64</f>
        <v>63180200</v>
      </c>
      <c r="F72" s="709"/>
    </row>
    <row r="73" spans="1:7" x14ac:dyDescent="0.25">
      <c r="C73" s="692">
        <f>'поступления 831, 841 26-28'!F10+'поступления 831, 841 26-28'!F23+'поступления 810 26-28'!H82+'постуления 820 26-28'!H12</f>
        <v>62643400</v>
      </c>
      <c r="D73" s="692">
        <f>'поступления 831, 841 26-28'!H10+'поступления 831, 841 26-28'!J23+'поступления 810 26-28'!J82</f>
        <v>62918200</v>
      </c>
      <c r="E73" s="692">
        <f>'поступления 831, 841 26-28'!I10+'поступления 831, 841 26-28'!L23+'поступления 810 26-28'!K82</f>
        <v>63180200</v>
      </c>
      <c r="F73" s="692"/>
    </row>
    <row r="74" spans="1:7" x14ac:dyDescent="0.25">
      <c r="A74" s="298" t="s">
        <v>128</v>
      </c>
      <c r="C74" s="638">
        <f>C72-C73</f>
        <v>0</v>
      </c>
      <c r="D74" s="638">
        <f>D72-D73</f>
        <v>0</v>
      </c>
      <c r="E74" s="638">
        <f>E72-E73</f>
        <v>0</v>
      </c>
    </row>
    <row r="75" spans="1:7" x14ac:dyDescent="0.25">
      <c r="A75" s="298" t="s">
        <v>779</v>
      </c>
      <c r="C75" s="638">
        <f>C72-'поступления 831, 841 26-28'!F10-'поступления 831, 841 26-28'!F23-'поступления 810 26-28'!H82-'постуления 820 26-28'!H12</f>
        <v>0</v>
      </c>
      <c r="D75" s="638">
        <f>D72-'поступления 810 26-28'!J82-'поступления 831, 841 26-28'!H10-'поступления 831, 841 26-28'!J23-'поступления 831, 841 26-28'!K23-'постуления 820 26-28'!J10</f>
        <v>0</v>
      </c>
      <c r="E75" s="638">
        <f>E72-'поступления 831, 841 26-28'!I10-'поступления 831, 841 26-28'!L23-'поступления 810 26-28'!K82</f>
        <v>0</v>
      </c>
    </row>
    <row r="77" spans="1:7" x14ac:dyDescent="0.25">
      <c r="E77" s="692"/>
    </row>
    <row r="78" spans="1:7" x14ac:dyDescent="0.25">
      <c r="E78" s="692"/>
    </row>
  </sheetData>
  <mergeCells count="18">
    <mergeCell ref="B65:B67"/>
    <mergeCell ref="A49:F49"/>
    <mergeCell ref="B53:B54"/>
    <mergeCell ref="A61:F61"/>
    <mergeCell ref="A24:F24"/>
    <mergeCell ref="A38:F38"/>
    <mergeCell ref="B42:B43"/>
    <mergeCell ref="C42:C43"/>
    <mergeCell ref="D42:D43"/>
    <mergeCell ref="E42:E43"/>
    <mergeCell ref="B28:B29"/>
    <mergeCell ref="B11:B12"/>
    <mergeCell ref="A2:F2"/>
    <mergeCell ref="A4:A5"/>
    <mergeCell ref="B4:B5"/>
    <mergeCell ref="C4:E4"/>
    <mergeCell ref="F4:F5"/>
    <mergeCell ref="A7:F7"/>
  </mergeCells>
  <pageMargins left="1.1811023622047245" right="0.39370078740157483" top="0.78740157480314965" bottom="0.74803149606299213" header="0.31496062992125984" footer="0.31496062992125984"/>
  <pageSetup paperSize="9" scale="5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FF"/>
    <pageSetUpPr fitToPage="1"/>
  </sheetPr>
  <dimension ref="A1:M26"/>
  <sheetViews>
    <sheetView view="pageBreakPreview" zoomScale="70" zoomScaleSheetLayoutView="70" workbookViewId="0">
      <selection activeCell="A2" sqref="A2"/>
    </sheetView>
  </sheetViews>
  <sheetFormatPr defaultColWidth="9.33203125" defaultRowHeight="14.4" x14ac:dyDescent="0.3"/>
  <cols>
    <col min="1" max="1" width="9.33203125" style="513"/>
    <col min="2" max="2" width="10.6640625" style="513" customWidth="1"/>
    <col min="3" max="3" width="9.33203125" style="513"/>
    <col min="4" max="4" width="74.44140625" style="513" customWidth="1"/>
    <col min="5" max="5" width="14.77734375" style="513" customWidth="1"/>
    <col min="6" max="9" width="19.33203125" style="521" customWidth="1"/>
    <col min="10" max="10" width="18.109375" style="521" customWidth="1"/>
    <col min="11" max="11" width="17.77734375" style="521" bestFit="1" customWidth="1"/>
    <col min="12" max="12" width="18.77734375" style="521" customWidth="1"/>
    <col min="13" max="13" width="15.6640625" style="513" customWidth="1"/>
    <col min="14" max="16384" width="9.33203125" style="513"/>
  </cols>
  <sheetData>
    <row r="1" spans="1:13" ht="20.399999999999999" x14ac:dyDescent="0.35">
      <c r="A1" s="1619" t="s">
        <v>917</v>
      </c>
      <c r="B1" s="1619"/>
      <c r="C1" s="1619"/>
      <c r="D1" s="1619"/>
      <c r="E1" s="1619"/>
      <c r="F1" s="1619"/>
      <c r="G1" s="1619"/>
      <c r="H1" s="1619"/>
      <c r="I1" s="1619"/>
      <c r="J1" s="1619"/>
      <c r="K1" s="1619"/>
      <c r="L1" s="1619"/>
      <c r="M1" s="1619"/>
    </row>
    <row r="3" spans="1:13" ht="26.25" customHeight="1" x14ac:dyDescent="0.3">
      <c r="A3" s="1618" t="s">
        <v>694</v>
      </c>
      <c r="B3" s="1618"/>
      <c r="C3" s="1618"/>
      <c r="D3" s="1618"/>
      <c r="E3" s="1618"/>
      <c r="F3" s="1618"/>
      <c r="G3" s="1618"/>
      <c r="H3" s="1618"/>
      <c r="I3" s="1618"/>
    </row>
    <row r="4" spans="1:13" ht="11.25" customHeight="1" x14ac:dyDescent="0.3">
      <c r="D4" s="514"/>
      <c r="E4" s="514"/>
      <c r="F4" s="713"/>
      <c r="G4" s="713"/>
      <c r="H4" s="713"/>
      <c r="I4" s="713"/>
    </row>
    <row r="5" spans="1:13" ht="29.25" customHeight="1" x14ac:dyDescent="0.3">
      <c r="A5" s="1616" t="s">
        <v>688</v>
      </c>
      <c r="B5" s="1616" t="s">
        <v>446</v>
      </c>
      <c r="C5" s="1616" t="s">
        <v>332</v>
      </c>
      <c r="D5" s="1615" t="s">
        <v>177</v>
      </c>
      <c r="E5" s="1622" t="s">
        <v>448</v>
      </c>
      <c r="F5" s="1612" t="s">
        <v>258</v>
      </c>
      <c r="G5" s="1612"/>
      <c r="H5" s="1612"/>
      <c r="I5" s="1612"/>
      <c r="J5" s="714"/>
    </row>
    <row r="6" spans="1:13" ht="47.25" customHeight="1" x14ac:dyDescent="0.3">
      <c r="A6" s="1617"/>
      <c r="B6" s="1617"/>
      <c r="C6" s="1617"/>
      <c r="D6" s="1615"/>
      <c r="E6" s="1623"/>
      <c r="F6" s="702" t="s">
        <v>692</v>
      </c>
      <c r="G6" s="702" t="s">
        <v>886</v>
      </c>
      <c r="H6" s="702" t="s">
        <v>842</v>
      </c>
      <c r="I6" s="702" t="s">
        <v>885</v>
      </c>
      <c r="J6" s="523"/>
    </row>
    <row r="7" spans="1:13" x14ac:dyDescent="0.3">
      <c r="A7" s="504">
        <v>1</v>
      </c>
      <c r="B7" s="504">
        <v>2</v>
      </c>
      <c r="C7" s="504">
        <v>3</v>
      </c>
      <c r="D7" s="504">
        <v>4</v>
      </c>
      <c r="E7" s="504">
        <v>5</v>
      </c>
      <c r="F7" s="700">
        <v>6</v>
      </c>
      <c r="G7" s="700">
        <v>7</v>
      </c>
      <c r="H7" s="700">
        <v>8</v>
      </c>
      <c r="I7" s="700">
        <v>9</v>
      </c>
      <c r="K7" s="522"/>
      <c r="L7" s="522"/>
    </row>
    <row r="8" spans="1:13" ht="55.95" customHeight="1" x14ac:dyDescent="0.3">
      <c r="A8" s="661">
        <v>1210</v>
      </c>
      <c r="B8" s="661">
        <v>130</v>
      </c>
      <c r="C8" s="661">
        <v>131</v>
      </c>
      <c r="D8" s="507" t="s">
        <v>697</v>
      </c>
      <c r="E8" s="506" t="s">
        <v>696</v>
      </c>
      <c r="F8" s="662">
        <f>55740300</f>
        <v>55740300</v>
      </c>
      <c r="G8" s="524"/>
      <c r="H8" s="524">
        <v>55740300</v>
      </c>
      <c r="I8" s="524">
        <v>55740300</v>
      </c>
      <c r="K8" s="515"/>
      <c r="L8" s="515"/>
    </row>
    <row r="9" spans="1:13" ht="30" hidden="1" customHeight="1" x14ac:dyDescent="0.3">
      <c r="A9" s="661">
        <v>1981</v>
      </c>
      <c r="B9" s="661">
        <v>510</v>
      </c>
      <c r="C9" s="829" t="s">
        <v>341</v>
      </c>
      <c r="D9" s="507" t="s">
        <v>835</v>
      </c>
      <c r="E9" s="827" t="s">
        <v>696</v>
      </c>
      <c r="F9" s="662">
        <v>0</v>
      </c>
      <c r="G9" s="662"/>
      <c r="H9" s="524"/>
      <c r="I9" s="524"/>
      <c r="K9" s="515"/>
      <c r="L9" s="515"/>
    </row>
    <row r="10" spans="1:13" ht="19.95" customHeight="1" x14ac:dyDescent="0.3">
      <c r="A10" s="1624" t="s">
        <v>8</v>
      </c>
      <c r="B10" s="1625"/>
      <c r="C10" s="1625"/>
      <c r="D10" s="1626"/>
      <c r="E10" s="1104"/>
      <c r="F10" s="1105">
        <f>SUM(F8:F9)</f>
        <v>55740300</v>
      </c>
      <c r="G10" s="1105">
        <f>SUM(G8:G9)</f>
        <v>0</v>
      </c>
      <c r="H10" s="1105">
        <f t="shared" ref="H10:I10" si="0">SUM(H8:H9)</f>
        <v>55740300</v>
      </c>
      <c r="I10" s="1105">
        <f t="shared" si="0"/>
        <v>55740300</v>
      </c>
      <c r="J10" s="1073"/>
      <c r="K10" s="1074"/>
      <c r="L10" s="1074"/>
      <c r="M10" s="296"/>
    </row>
    <row r="11" spans="1:13" x14ac:dyDescent="0.3">
      <c r="A11" s="296"/>
      <c r="B11" s="296"/>
      <c r="C11" s="296"/>
      <c r="D11" s="296"/>
      <c r="E11" s="296"/>
      <c r="F11" s="1073"/>
      <c r="G11" s="1073"/>
      <c r="H11" s="1073"/>
      <c r="I11" s="1073"/>
      <c r="J11" s="1073"/>
      <c r="K11" s="1073"/>
      <c r="L11" s="1073"/>
      <c r="M11" s="296"/>
    </row>
    <row r="12" spans="1:13" x14ac:dyDescent="0.3">
      <c r="A12" s="1620" t="s">
        <v>695</v>
      </c>
      <c r="B12" s="1620"/>
      <c r="C12" s="1620"/>
      <c r="D12" s="1620"/>
      <c r="E12" s="1620"/>
      <c r="F12" s="1620"/>
      <c r="G12" s="1620"/>
      <c r="H12" s="1620"/>
      <c r="I12" s="1620"/>
      <c r="J12" s="1620"/>
      <c r="K12" s="1620"/>
      <c r="L12" s="1620"/>
      <c r="M12" s="1620"/>
    </row>
    <row r="13" spans="1:13" x14ac:dyDescent="0.3">
      <c r="A13" s="296"/>
      <c r="B13" s="296"/>
      <c r="C13" s="296"/>
      <c r="D13" s="1075"/>
      <c r="E13" s="1075"/>
      <c r="F13" s="1076"/>
      <c r="G13" s="1076"/>
      <c r="H13" s="1076"/>
      <c r="I13" s="1076"/>
      <c r="J13" s="1076"/>
      <c r="K13" s="1076"/>
      <c r="L13" s="1076"/>
      <c r="M13" s="296"/>
    </row>
    <row r="14" spans="1:13" x14ac:dyDescent="0.3">
      <c r="A14" s="1630" t="s">
        <v>688</v>
      </c>
      <c r="B14" s="1630" t="s">
        <v>446</v>
      </c>
      <c r="C14" s="1630" t="s">
        <v>332</v>
      </c>
      <c r="D14" s="1631" t="s">
        <v>183</v>
      </c>
      <c r="E14" s="1632" t="s">
        <v>448</v>
      </c>
      <c r="F14" s="1621" t="s">
        <v>185</v>
      </c>
      <c r="G14" s="1621"/>
      <c r="H14" s="1621"/>
      <c r="I14" s="1621"/>
      <c r="J14" s="1621"/>
      <c r="K14" s="1621"/>
      <c r="L14" s="1621"/>
      <c r="M14" s="1621"/>
    </row>
    <row r="15" spans="1:13" ht="45" customHeight="1" x14ac:dyDescent="0.3">
      <c r="A15" s="1630"/>
      <c r="B15" s="1630"/>
      <c r="C15" s="1630"/>
      <c r="D15" s="1631"/>
      <c r="E15" s="1633"/>
      <c r="F15" s="1614" t="s">
        <v>692</v>
      </c>
      <c r="G15" s="1614"/>
      <c r="H15" s="1621" t="s">
        <v>886</v>
      </c>
      <c r="I15" s="1621"/>
      <c r="J15" s="1614" t="s">
        <v>842</v>
      </c>
      <c r="K15" s="1614"/>
      <c r="L15" s="1614" t="s">
        <v>885</v>
      </c>
      <c r="M15" s="1614"/>
    </row>
    <row r="16" spans="1:13" ht="72.75" customHeight="1" x14ac:dyDescent="0.3">
      <c r="A16" s="1630"/>
      <c r="B16" s="1630"/>
      <c r="C16" s="1630"/>
      <c r="D16" s="1631"/>
      <c r="E16" s="1634"/>
      <c r="F16" s="352" t="s">
        <v>772</v>
      </c>
      <c r="G16" s="352" t="s">
        <v>764</v>
      </c>
      <c r="H16" s="352" t="s">
        <v>772</v>
      </c>
      <c r="I16" s="352" t="s">
        <v>764</v>
      </c>
      <c r="J16" s="352" t="s">
        <v>772</v>
      </c>
      <c r="K16" s="352" t="s">
        <v>764</v>
      </c>
      <c r="L16" s="352" t="s">
        <v>772</v>
      </c>
      <c r="M16" s="352" t="s">
        <v>764</v>
      </c>
    </row>
    <row r="17" spans="1:13" x14ac:dyDescent="0.3">
      <c r="A17" s="520">
        <v>1</v>
      </c>
      <c r="B17" s="520">
        <v>2</v>
      </c>
      <c r="C17" s="520">
        <v>3</v>
      </c>
      <c r="D17" s="520">
        <v>4</v>
      </c>
      <c r="E17" s="520">
        <v>5</v>
      </c>
      <c r="F17" s="520">
        <v>6</v>
      </c>
      <c r="G17" s="520">
        <v>7</v>
      </c>
      <c r="H17" s="520">
        <v>8</v>
      </c>
      <c r="I17" s="520">
        <v>9</v>
      </c>
      <c r="J17" s="520">
        <v>10</v>
      </c>
      <c r="K17" s="520">
        <v>11</v>
      </c>
      <c r="L17" s="520">
        <v>12</v>
      </c>
      <c r="M17" s="520">
        <v>13</v>
      </c>
    </row>
    <row r="18" spans="1:13" ht="22.2" customHeight="1" x14ac:dyDescent="0.3">
      <c r="A18" s="1635">
        <v>1410</v>
      </c>
      <c r="B18" s="1635">
        <v>150</v>
      </c>
      <c r="C18" s="1635" t="s">
        <v>701</v>
      </c>
      <c r="D18" s="1290" t="s">
        <v>699</v>
      </c>
      <c r="E18" s="1056" t="s">
        <v>698</v>
      </c>
      <c r="F18" s="662">
        <f>160000</f>
        <v>160000</v>
      </c>
      <c r="G18" s="662"/>
      <c r="H18" s="524"/>
      <c r="I18" s="524"/>
      <c r="J18" s="662">
        <v>160000</v>
      </c>
      <c r="K18" s="662"/>
      <c r="L18" s="662">
        <v>160000</v>
      </c>
      <c r="M18" s="662"/>
    </row>
    <row r="19" spans="1:13" ht="65.25" customHeight="1" x14ac:dyDescent="0.3">
      <c r="A19" s="1635"/>
      <c r="B19" s="1635"/>
      <c r="C19" s="1635"/>
      <c r="D19" s="1290" t="s">
        <v>700</v>
      </c>
      <c r="E19" s="1056" t="s">
        <v>527</v>
      </c>
      <c r="F19" s="662">
        <f>1060300</f>
        <v>1060300</v>
      </c>
      <c r="G19" s="662"/>
      <c r="H19" s="524"/>
      <c r="I19" s="524"/>
      <c r="J19" s="662">
        <v>1060300</v>
      </c>
      <c r="K19" s="662"/>
      <c r="L19" s="662">
        <v>1060300</v>
      </c>
      <c r="M19" s="662"/>
    </row>
    <row r="20" spans="1:13" ht="65.25" customHeight="1" x14ac:dyDescent="0.3">
      <c r="A20" s="1635"/>
      <c r="B20" s="1635"/>
      <c r="C20" s="1635"/>
      <c r="D20" s="1290" t="s">
        <v>897</v>
      </c>
      <c r="E20" s="1263" t="s">
        <v>899</v>
      </c>
      <c r="F20" s="662">
        <f>339300</f>
        <v>339300</v>
      </c>
      <c r="G20" s="662"/>
      <c r="H20" s="662"/>
      <c r="I20" s="662"/>
      <c r="J20" s="662">
        <v>339300</v>
      </c>
      <c r="K20" s="662"/>
      <c r="L20" s="662">
        <v>339300</v>
      </c>
      <c r="M20" s="662"/>
    </row>
    <row r="21" spans="1:13" x14ac:dyDescent="0.3">
      <c r="A21" s="1627" t="s">
        <v>72</v>
      </c>
      <c r="B21" s="1628"/>
      <c r="C21" s="1628"/>
      <c r="D21" s="1629"/>
      <c r="E21" s="1077"/>
      <c r="F21" s="1072">
        <f>SUM(F18:F20)</f>
        <v>1559600</v>
      </c>
      <c r="G21" s="1072">
        <f t="shared" ref="G21:M21" si="1">SUM(G18:G19)</f>
        <v>0</v>
      </c>
      <c r="H21" s="1072">
        <f t="shared" si="1"/>
        <v>0</v>
      </c>
      <c r="I21" s="1072">
        <f t="shared" si="1"/>
        <v>0</v>
      </c>
      <c r="J21" s="1072">
        <f>SUM(J18:J20)</f>
        <v>1559600</v>
      </c>
      <c r="K21" s="1072">
        <f t="shared" si="1"/>
        <v>0</v>
      </c>
      <c r="L21" s="1072">
        <f>SUM(L18:L20)</f>
        <v>1559600</v>
      </c>
      <c r="M21" s="1072">
        <f t="shared" si="1"/>
        <v>0</v>
      </c>
    </row>
    <row r="22" spans="1:13" x14ac:dyDescent="0.3">
      <c r="A22" s="718">
        <v>4010</v>
      </c>
      <c r="B22" s="718">
        <v>610</v>
      </c>
      <c r="C22" s="719" t="s">
        <v>341</v>
      </c>
      <c r="D22" s="1078" t="s">
        <v>765</v>
      </c>
      <c r="E22" s="1077"/>
      <c r="F22" s="1072"/>
      <c r="G22" s="1072"/>
      <c r="H22" s="1072">
        <v>0</v>
      </c>
      <c r="I22" s="1072"/>
      <c r="J22" s="1072"/>
      <c r="K22" s="1072"/>
      <c r="L22" s="1072"/>
      <c r="M22" s="1079"/>
    </row>
    <row r="23" spans="1:13" ht="18" customHeight="1" x14ac:dyDescent="0.3">
      <c r="A23" s="1624" t="s">
        <v>8</v>
      </c>
      <c r="B23" s="1625"/>
      <c r="C23" s="1625"/>
      <c r="D23" s="1626"/>
      <c r="E23" s="1106"/>
      <c r="F23" s="1105">
        <f>F21-F22</f>
        <v>1559600</v>
      </c>
      <c r="G23" s="1105">
        <f t="shared" ref="G23:L23" si="2">G21-G22</f>
        <v>0</v>
      </c>
      <c r="H23" s="1105">
        <f>H21-H22</f>
        <v>0</v>
      </c>
      <c r="I23" s="1105">
        <f t="shared" si="2"/>
        <v>0</v>
      </c>
      <c r="J23" s="1105">
        <f t="shared" si="2"/>
        <v>1559600</v>
      </c>
      <c r="K23" s="1105">
        <f t="shared" si="2"/>
        <v>0</v>
      </c>
      <c r="L23" s="1105">
        <f t="shared" si="2"/>
        <v>1559600</v>
      </c>
      <c r="M23" s="1105">
        <f>M21-M22</f>
        <v>0</v>
      </c>
    </row>
    <row r="26" spans="1:13" x14ac:dyDescent="0.3">
      <c r="A26" s="513" t="s">
        <v>741</v>
      </c>
      <c r="F26" s="663"/>
      <c r="G26" s="663"/>
      <c r="H26" s="663"/>
      <c r="I26" s="663"/>
      <c r="J26" s="663"/>
      <c r="K26" s="663">
        <f>57299900-H10-J23-K23</f>
        <v>0</v>
      </c>
      <c r="L26" s="663">
        <f>55740300+1559600-I10-L23-M23</f>
        <v>0</v>
      </c>
    </row>
  </sheetData>
  <mergeCells count="25">
    <mergeCell ref="A23:D23"/>
    <mergeCell ref="A21:D21"/>
    <mergeCell ref="F15:G15"/>
    <mergeCell ref="H15:I15"/>
    <mergeCell ref="J15:K15"/>
    <mergeCell ref="A14:A16"/>
    <mergeCell ref="B14:B16"/>
    <mergeCell ref="C14:C16"/>
    <mergeCell ref="D14:D16"/>
    <mergeCell ref="E14:E16"/>
    <mergeCell ref="B18:B20"/>
    <mergeCell ref="C18:C20"/>
    <mergeCell ref="A18:A20"/>
    <mergeCell ref="A3:I3"/>
    <mergeCell ref="A1:M1"/>
    <mergeCell ref="A12:M12"/>
    <mergeCell ref="F14:M14"/>
    <mergeCell ref="E5:E6"/>
    <mergeCell ref="A10:D10"/>
    <mergeCell ref="L15:M15"/>
    <mergeCell ref="D5:D6"/>
    <mergeCell ref="A5:A6"/>
    <mergeCell ref="B5:B6"/>
    <mergeCell ref="C5:C6"/>
    <mergeCell ref="F5:I5"/>
  </mergeCells>
  <pageMargins left="0.39370078740157483" right="0.39370078740157483" top="1.1811023622047245" bottom="0.74803149606299213" header="0.31496062992125984" footer="0.31496062992125984"/>
  <pageSetup paperSize="9" scale="5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FF"/>
  </sheetPr>
  <dimension ref="A1:ET82"/>
  <sheetViews>
    <sheetView view="pageBreakPreview" zoomScale="60" zoomScaleNormal="80" workbookViewId="0">
      <selection activeCell="A5" sqref="A5:AH5"/>
    </sheetView>
  </sheetViews>
  <sheetFormatPr defaultColWidth="9.33203125" defaultRowHeight="13.8" x14ac:dyDescent="0.25"/>
  <cols>
    <col min="1" max="1" width="9.33203125" style="316"/>
    <col min="2" max="2" width="14.77734375" style="316" customWidth="1"/>
    <col min="3" max="3" width="13.44140625" style="316" customWidth="1"/>
    <col min="4" max="4" width="12.77734375" style="316" customWidth="1"/>
    <col min="5" max="5" width="21.77734375" style="316" customWidth="1"/>
    <col min="6" max="6" width="12.33203125" style="316" customWidth="1"/>
    <col min="7" max="7" width="17.77734375" style="316" customWidth="1"/>
    <col min="8" max="8" width="16.77734375" style="316" customWidth="1"/>
    <col min="9" max="9" width="17.77734375" style="316" customWidth="1"/>
    <col min="10" max="10" width="16.77734375" style="316" customWidth="1"/>
    <col min="11" max="11" width="18.109375" style="316" customWidth="1"/>
    <col min="12" max="12" width="13.44140625" style="316" customWidth="1"/>
    <col min="13" max="13" width="14.77734375" style="316" customWidth="1"/>
    <col min="14" max="14" width="12.44140625" style="316" customWidth="1"/>
    <col min="15" max="15" width="19.109375" style="316" customWidth="1"/>
    <col min="16" max="16" width="14.44140625" style="316" bestFit="1" customWidth="1"/>
    <col min="17" max="17" width="9.109375" style="316" customWidth="1"/>
    <col min="18" max="18" width="11.77734375" style="316" customWidth="1"/>
    <col min="19" max="19" width="12.44140625" style="316" customWidth="1"/>
    <col min="20" max="20" width="9.109375" style="316" customWidth="1"/>
    <col min="21" max="21" width="11.109375" style="316" customWidth="1"/>
    <col min="22" max="22" width="14.33203125" style="316" customWidth="1"/>
    <col min="23" max="23" width="8.77734375" style="316" hidden="1" customWidth="1"/>
    <col min="24" max="24" width="10.109375" style="316" hidden="1" customWidth="1"/>
    <col min="25" max="25" width="11.77734375" style="316" hidden="1" customWidth="1"/>
    <col min="26" max="27" width="10" style="316" customWidth="1"/>
    <col min="28" max="28" width="10.44140625" style="316" bestFit="1" customWidth="1"/>
    <col min="29" max="31" width="10.44140625" style="316" customWidth="1"/>
    <col min="32" max="32" width="16.44140625" style="316" customWidth="1"/>
    <col min="33" max="33" width="15.33203125" style="316" customWidth="1"/>
    <col min="34" max="34" width="15.44140625" style="316" customWidth="1"/>
    <col min="35" max="35" width="18.77734375" style="316" customWidth="1"/>
    <col min="36" max="37" width="19.77734375" style="317" customWidth="1"/>
    <col min="38" max="38" width="12.77734375" style="316" bestFit="1" customWidth="1"/>
    <col min="39" max="16384" width="9.33203125" style="316"/>
  </cols>
  <sheetData>
    <row r="1" spans="1:150" x14ac:dyDescent="0.25">
      <c r="A1" s="597"/>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934"/>
      <c r="AJ1" s="597"/>
      <c r="AK1" s="597"/>
    </row>
    <row r="2" spans="1:150" ht="24.6" x14ac:dyDescent="0.25">
      <c r="A2" s="1687" t="s">
        <v>887</v>
      </c>
      <c r="B2" s="1687"/>
      <c r="C2" s="1687"/>
      <c r="D2" s="1687"/>
      <c r="E2" s="1687"/>
      <c r="F2" s="1687"/>
      <c r="G2" s="1687"/>
      <c r="H2" s="1687"/>
      <c r="I2" s="1687"/>
      <c r="J2" s="1687"/>
      <c r="K2" s="1687"/>
      <c r="L2" s="1687"/>
      <c r="M2" s="1687"/>
      <c r="N2" s="1687"/>
      <c r="O2" s="1687"/>
      <c r="P2" s="1687"/>
      <c r="Q2" s="1687"/>
      <c r="R2" s="1687"/>
      <c r="S2" s="1687"/>
      <c r="T2" s="1687"/>
      <c r="U2" s="1687"/>
      <c r="V2" s="1687"/>
      <c r="W2" s="1687"/>
      <c r="X2" s="1687"/>
      <c r="Y2" s="1687"/>
      <c r="Z2" s="1687"/>
      <c r="AA2" s="1687"/>
      <c r="AB2" s="1687"/>
      <c r="AC2" s="1687"/>
      <c r="AD2" s="1687"/>
      <c r="AE2" s="1687"/>
      <c r="AF2" s="1687"/>
      <c r="AG2" s="1687"/>
      <c r="AH2" s="1687"/>
      <c r="AI2" s="1128"/>
      <c r="AJ2" s="1128"/>
      <c r="AK2" s="1128"/>
    </row>
    <row r="3" spans="1:150" x14ac:dyDescent="0.25">
      <c r="A3" s="597"/>
      <c r="B3" s="597"/>
      <c r="C3" s="597"/>
      <c r="D3" s="597"/>
      <c r="E3" s="597"/>
      <c r="F3" s="597"/>
      <c r="G3" s="1113"/>
      <c r="H3" s="1113"/>
      <c r="I3" s="1113"/>
      <c r="J3" s="1113"/>
      <c r="K3" s="1113"/>
      <c r="L3" s="1113"/>
      <c r="M3" s="1113"/>
      <c r="N3" s="1113"/>
      <c r="O3" s="1113"/>
      <c r="P3" s="1113"/>
      <c r="Q3" s="1113"/>
      <c r="R3" s="1113"/>
      <c r="S3" s="1113"/>
      <c r="T3" s="1113"/>
      <c r="U3" s="1113"/>
      <c r="V3" s="1113"/>
      <c r="W3" s="1113"/>
      <c r="X3" s="1113"/>
      <c r="Y3" s="1113"/>
      <c r="Z3" s="1113"/>
      <c r="AA3" s="1113"/>
      <c r="AB3" s="1113"/>
      <c r="AC3" s="1113"/>
      <c r="AD3" s="1113"/>
      <c r="AE3" s="1113"/>
      <c r="AF3" s="1113"/>
      <c r="AG3" s="1113"/>
      <c r="AH3" s="1113"/>
      <c r="AI3" s="1113"/>
      <c r="AJ3" s="597"/>
      <c r="AK3" s="597"/>
    </row>
    <row r="4" spans="1:150" ht="20.399999999999999" x14ac:dyDescent="0.25">
      <c r="A4" s="1688" t="s">
        <v>917</v>
      </c>
      <c r="B4" s="1688"/>
      <c r="C4" s="1688"/>
      <c r="D4" s="1688"/>
      <c r="E4" s="1688"/>
      <c r="F4" s="1688"/>
      <c r="G4" s="1688"/>
      <c r="H4" s="1688"/>
      <c r="I4" s="1688"/>
      <c r="J4" s="1688"/>
      <c r="K4" s="1688"/>
      <c r="L4" s="1688"/>
      <c r="M4" s="1688"/>
      <c r="N4" s="1688"/>
      <c r="O4" s="1688"/>
      <c r="P4" s="1688"/>
      <c r="Q4" s="1688"/>
      <c r="R4" s="1688"/>
      <c r="S4" s="1688"/>
      <c r="T4" s="1688"/>
      <c r="U4" s="1688"/>
      <c r="V4" s="1688"/>
      <c r="W4" s="1688"/>
      <c r="X4" s="1688"/>
      <c r="Y4" s="1688"/>
      <c r="Z4" s="1688"/>
      <c r="AA4" s="1688"/>
      <c r="AB4" s="1688"/>
      <c r="AC4" s="1688"/>
      <c r="AD4" s="1688"/>
      <c r="AE4" s="1688"/>
      <c r="AF4" s="1688"/>
      <c r="AG4" s="1688"/>
      <c r="AH4" s="1688"/>
      <c r="AI4" s="1129"/>
      <c r="AJ4" s="1129"/>
      <c r="AK4" s="1129"/>
    </row>
    <row r="5" spans="1:150" x14ac:dyDescent="0.25">
      <c r="A5" s="1689" t="s">
        <v>252</v>
      </c>
      <c r="B5" s="1689"/>
      <c r="C5" s="1689"/>
      <c r="D5" s="1689"/>
      <c r="E5" s="1689"/>
      <c r="F5" s="1689"/>
      <c r="G5" s="1689"/>
      <c r="H5" s="1689"/>
      <c r="I5" s="1689"/>
      <c r="J5" s="1689"/>
      <c r="K5" s="1689"/>
      <c r="L5" s="1689"/>
      <c r="M5" s="1689"/>
      <c r="N5" s="1689"/>
      <c r="O5" s="1689"/>
      <c r="P5" s="1689"/>
      <c r="Q5" s="1689"/>
      <c r="R5" s="1689"/>
      <c r="S5" s="1689"/>
      <c r="T5" s="1689"/>
      <c r="U5" s="1689"/>
      <c r="V5" s="1689"/>
      <c r="W5" s="1689"/>
      <c r="X5" s="1689"/>
      <c r="Y5" s="1689"/>
      <c r="Z5" s="1689"/>
      <c r="AA5" s="1689"/>
      <c r="AB5" s="1689"/>
      <c r="AC5" s="1689"/>
      <c r="AD5" s="1689"/>
      <c r="AE5" s="1689"/>
      <c r="AF5" s="1689"/>
      <c r="AG5" s="1689"/>
      <c r="AH5" s="1689"/>
      <c r="AI5" s="1130"/>
      <c r="AJ5" s="1130"/>
      <c r="AK5" s="1130"/>
    </row>
    <row r="6" spans="1:150" x14ac:dyDescent="0.25">
      <c r="A6" s="597"/>
      <c r="B6" s="597"/>
      <c r="C6" s="597"/>
      <c r="D6" s="597"/>
      <c r="E6" s="597"/>
      <c r="F6" s="597"/>
      <c r="G6" s="935"/>
      <c r="H6" s="935"/>
      <c r="I6" s="935"/>
      <c r="J6" s="935"/>
      <c r="K6" s="935"/>
      <c r="L6" s="935"/>
      <c r="M6" s="935"/>
      <c r="N6" s="935"/>
      <c r="O6" s="935"/>
      <c r="P6" s="935"/>
      <c r="Q6" s="935"/>
      <c r="R6" s="935"/>
      <c r="S6" s="935"/>
      <c r="T6" s="935"/>
      <c r="U6" s="935"/>
      <c r="V6" s="935"/>
      <c r="W6" s="935"/>
      <c r="X6" s="935"/>
      <c r="Y6" s="935"/>
      <c r="Z6" s="935"/>
      <c r="AA6" s="935"/>
      <c r="AB6" s="935"/>
      <c r="AC6" s="935"/>
      <c r="AD6" s="935"/>
      <c r="AE6" s="935"/>
      <c r="AF6" s="935"/>
      <c r="AG6" s="935"/>
      <c r="AH6" s="935"/>
      <c r="AI6" s="935"/>
      <c r="AJ6" s="935"/>
      <c r="AK6" s="935"/>
    </row>
    <row r="7" spans="1:150" ht="15" customHeight="1" x14ac:dyDescent="0.25">
      <c r="A7" s="597"/>
      <c r="B7" s="597"/>
      <c r="C7" s="597"/>
      <c r="D7" s="597"/>
      <c r="E7" s="597"/>
      <c r="F7" s="597"/>
      <c r="G7" s="935"/>
      <c r="H7" s="935"/>
      <c r="I7" s="935"/>
      <c r="J7" s="935"/>
      <c r="K7" s="935"/>
      <c r="L7" s="935"/>
      <c r="M7" s="935"/>
      <c r="N7" s="935"/>
      <c r="O7" s="935"/>
      <c r="P7" s="935"/>
      <c r="Q7" s="935"/>
      <c r="R7" s="935"/>
      <c r="S7" s="935"/>
      <c r="T7" s="935"/>
      <c r="U7" s="935"/>
      <c r="V7" s="935"/>
      <c r="W7" s="935"/>
      <c r="X7" s="935"/>
      <c r="Y7" s="935"/>
      <c r="Z7" s="935"/>
      <c r="AA7" s="935"/>
      <c r="AB7" s="935"/>
      <c r="AC7" s="935"/>
      <c r="AD7" s="935"/>
      <c r="AE7" s="935"/>
      <c r="AF7" s="935"/>
      <c r="AG7" s="935"/>
      <c r="AH7" s="935"/>
      <c r="AI7" s="935"/>
      <c r="AJ7" s="597"/>
      <c r="AK7" s="597"/>
    </row>
    <row r="8" spans="1:150" s="597" customFormat="1" ht="25.5" customHeight="1" x14ac:dyDescent="0.25">
      <c r="A8" s="1692" t="s">
        <v>689</v>
      </c>
      <c r="B8" s="1692"/>
      <c r="C8" s="1692"/>
      <c r="D8" s="1692"/>
      <c r="E8" s="1692"/>
      <c r="F8" s="1692"/>
      <c r="G8" s="1692"/>
      <c r="H8" s="1692"/>
      <c r="I8" s="1692"/>
      <c r="J8" s="1692"/>
      <c r="K8" s="1692"/>
      <c r="L8" s="1692"/>
      <c r="M8" s="1692"/>
      <c r="N8" s="1692"/>
      <c r="O8" s="1692"/>
      <c r="P8" s="1692"/>
      <c r="Q8" s="1692"/>
      <c r="R8" s="1692"/>
      <c r="S8" s="1692"/>
      <c r="T8" s="1692"/>
      <c r="U8" s="1692"/>
      <c r="V8" s="1692"/>
      <c r="W8" s="1692"/>
      <c r="X8" s="1692"/>
      <c r="Y8" s="1692"/>
      <c r="Z8" s="1692"/>
      <c r="AA8" s="1692"/>
      <c r="AB8" s="1692"/>
      <c r="AC8" s="1692"/>
      <c r="AD8" s="1692"/>
      <c r="AE8" s="1692"/>
      <c r="AF8" s="1692"/>
      <c r="AG8" s="1692"/>
      <c r="AH8" s="1692"/>
      <c r="AI8" s="1107"/>
      <c r="AJ8" s="1107"/>
    </row>
    <row r="9" spans="1:150" ht="20.399999999999999" x14ac:dyDescent="0.25">
      <c r="A9" s="597"/>
      <c r="B9" s="597"/>
      <c r="C9" s="597"/>
      <c r="D9" s="597"/>
      <c r="E9" s="597"/>
      <c r="F9" s="597"/>
      <c r="G9" s="936"/>
      <c r="H9" s="937"/>
      <c r="I9" s="937"/>
      <c r="J9" s="937"/>
      <c r="K9" s="937"/>
      <c r="L9" s="937"/>
      <c r="M9" s="937"/>
      <c r="N9" s="937"/>
      <c r="O9" s="937"/>
      <c r="P9" s="937"/>
      <c r="Q9" s="937"/>
      <c r="R9" s="937"/>
      <c r="S9" s="937"/>
      <c r="T9" s="937"/>
      <c r="U9" s="937"/>
      <c r="V9" s="937"/>
      <c r="W9" s="937"/>
      <c r="X9" s="937"/>
      <c r="Y9" s="937"/>
      <c r="Z9" s="937"/>
      <c r="AA9" s="937"/>
      <c r="AB9" s="937"/>
      <c r="AC9" s="937"/>
      <c r="AD9" s="937"/>
      <c r="AE9" s="937"/>
      <c r="AF9" s="937"/>
      <c r="AG9" s="937"/>
      <c r="AH9" s="937"/>
      <c r="AI9" s="937"/>
      <c r="AJ9" s="937"/>
      <c r="AK9" s="597"/>
    </row>
    <row r="10" spans="1:150" ht="27" customHeight="1" x14ac:dyDescent="0.25">
      <c r="A10" s="1637" t="s">
        <v>688</v>
      </c>
      <c r="B10" s="1637" t="s">
        <v>446</v>
      </c>
      <c r="C10" s="1637" t="s">
        <v>332</v>
      </c>
      <c r="D10" s="1638" t="s">
        <v>78</v>
      </c>
      <c r="E10" s="1638" t="s">
        <v>344</v>
      </c>
      <c r="F10" s="1641" t="s">
        <v>909</v>
      </c>
      <c r="G10" s="1637" t="s">
        <v>345</v>
      </c>
      <c r="H10" s="1693" t="s">
        <v>346</v>
      </c>
      <c r="I10" s="1694"/>
      <c r="J10" s="1694"/>
      <c r="K10" s="1694"/>
      <c r="L10" s="1694"/>
      <c r="M10" s="1694"/>
      <c r="N10" s="1694"/>
      <c r="O10" s="1694"/>
      <c r="P10" s="1694"/>
      <c r="Q10" s="1694"/>
      <c r="R10" s="1694"/>
      <c r="S10" s="1694"/>
      <c r="T10" s="1694"/>
      <c r="U10" s="1694"/>
      <c r="V10" s="1694"/>
      <c r="W10" s="1694"/>
      <c r="X10" s="1694"/>
      <c r="Y10" s="1694"/>
      <c r="Z10" s="1694"/>
      <c r="AA10" s="1694"/>
      <c r="AB10" s="1694"/>
      <c r="AC10" s="1694"/>
      <c r="AD10" s="1694"/>
      <c r="AE10" s="1695"/>
      <c r="AF10" s="1676" t="s">
        <v>890</v>
      </c>
      <c r="AG10" s="1667" t="s">
        <v>891</v>
      </c>
      <c r="AH10" s="1667" t="s">
        <v>892</v>
      </c>
      <c r="AI10" s="597"/>
      <c r="AJ10" s="597"/>
      <c r="AK10" s="597"/>
      <c r="AL10" s="317"/>
      <c r="AM10" s="317"/>
      <c r="AN10" s="317"/>
      <c r="AO10" s="317"/>
      <c r="AP10" s="317"/>
      <c r="AQ10" s="317"/>
      <c r="AR10" s="317"/>
      <c r="AS10" s="317"/>
      <c r="AT10" s="317"/>
      <c r="AU10" s="317"/>
      <c r="AV10" s="317"/>
      <c r="AW10" s="317"/>
      <c r="AX10" s="317"/>
      <c r="AY10" s="317"/>
      <c r="AZ10" s="317"/>
      <c r="BA10" s="317"/>
      <c r="BB10" s="317"/>
      <c r="BC10" s="317"/>
      <c r="BD10" s="317"/>
      <c r="BE10" s="317"/>
      <c r="BF10" s="317"/>
      <c r="BG10" s="317"/>
      <c r="BH10" s="317"/>
      <c r="BI10" s="317"/>
      <c r="BJ10" s="317"/>
      <c r="BK10" s="317"/>
      <c r="BL10" s="317"/>
      <c r="BM10" s="317"/>
      <c r="BN10" s="317"/>
      <c r="BO10" s="317"/>
      <c r="BP10" s="317"/>
      <c r="BQ10" s="317"/>
      <c r="BR10" s="317"/>
      <c r="BS10" s="317"/>
      <c r="BT10" s="317"/>
      <c r="BU10" s="317"/>
      <c r="BV10" s="317"/>
      <c r="BW10" s="317"/>
      <c r="BX10" s="317"/>
      <c r="BY10" s="317"/>
      <c r="BZ10" s="317"/>
      <c r="CA10" s="317"/>
      <c r="CB10" s="317"/>
      <c r="CC10" s="317"/>
      <c r="CD10" s="317"/>
      <c r="CE10" s="317"/>
      <c r="CF10" s="317"/>
      <c r="CG10" s="317"/>
      <c r="CH10" s="317"/>
      <c r="CI10" s="317"/>
      <c r="CJ10" s="317"/>
      <c r="CK10" s="317"/>
      <c r="CL10" s="317"/>
      <c r="CM10" s="317"/>
      <c r="CN10" s="317"/>
      <c r="CO10" s="317"/>
      <c r="CP10" s="317"/>
      <c r="CQ10" s="317"/>
      <c r="CR10" s="317"/>
      <c r="CS10" s="317"/>
      <c r="CT10" s="317"/>
      <c r="CU10" s="317"/>
      <c r="CV10" s="317"/>
      <c r="CW10" s="317"/>
      <c r="CX10" s="317"/>
      <c r="CY10" s="317"/>
      <c r="CZ10" s="317"/>
      <c r="DA10" s="317"/>
      <c r="DB10" s="317"/>
      <c r="DC10" s="317"/>
      <c r="DD10" s="317"/>
      <c r="DE10" s="317"/>
      <c r="DF10" s="317"/>
      <c r="DG10" s="317"/>
      <c r="DH10" s="317"/>
      <c r="DI10" s="317"/>
      <c r="DJ10" s="317"/>
      <c r="DK10" s="317"/>
      <c r="DL10" s="317"/>
      <c r="DM10" s="317"/>
      <c r="DN10" s="317"/>
      <c r="DO10" s="317"/>
      <c r="DP10" s="317"/>
      <c r="DQ10" s="317"/>
      <c r="DR10" s="317"/>
      <c r="DS10" s="317"/>
      <c r="DT10" s="317"/>
      <c r="DU10" s="317"/>
      <c r="DV10" s="317"/>
      <c r="DW10" s="317"/>
      <c r="DX10" s="317"/>
      <c r="DY10" s="317"/>
      <c r="DZ10" s="317"/>
      <c r="EA10" s="317"/>
      <c r="EB10" s="317"/>
      <c r="EC10" s="317"/>
      <c r="ED10" s="317"/>
      <c r="EE10" s="317"/>
      <c r="EF10" s="317"/>
      <c r="EG10" s="317"/>
      <c r="EH10" s="317"/>
      <c r="EI10" s="317"/>
      <c r="EJ10" s="317"/>
      <c r="EK10" s="317"/>
      <c r="EL10" s="317"/>
      <c r="EM10" s="317"/>
      <c r="EN10" s="317"/>
      <c r="EO10" s="317"/>
      <c r="EP10" s="317"/>
      <c r="EQ10" s="317"/>
      <c r="ER10" s="317"/>
      <c r="ES10" s="317"/>
      <c r="ET10" s="317"/>
    </row>
    <row r="11" spans="1:150" ht="67.2" customHeight="1" x14ac:dyDescent="0.25">
      <c r="A11" s="1637"/>
      <c r="B11" s="1637"/>
      <c r="C11" s="1637"/>
      <c r="D11" s="1639"/>
      <c r="E11" s="1639"/>
      <c r="F11" s="1642"/>
      <c r="G11" s="1637"/>
      <c r="H11" s="1637" t="s">
        <v>788</v>
      </c>
      <c r="I11" s="1637"/>
      <c r="J11" s="1637"/>
      <c r="K11" s="1637" t="s">
        <v>347</v>
      </c>
      <c r="L11" s="1637"/>
      <c r="M11" s="1637"/>
      <c r="N11" s="1637" t="s">
        <v>690</v>
      </c>
      <c r="O11" s="1637"/>
      <c r="P11" s="1637"/>
      <c r="Q11" s="1637" t="s">
        <v>691</v>
      </c>
      <c r="R11" s="1637"/>
      <c r="S11" s="1637"/>
      <c r="T11" s="1637" t="s">
        <v>867</v>
      </c>
      <c r="U11" s="1637"/>
      <c r="V11" s="1637"/>
      <c r="W11" s="1637" t="s">
        <v>348</v>
      </c>
      <c r="X11" s="1637"/>
      <c r="Y11" s="1637"/>
      <c r="Z11" s="1670" t="s">
        <v>349</v>
      </c>
      <c r="AA11" s="1671"/>
      <c r="AB11" s="1672"/>
      <c r="AC11" s="1670" t="s">
        <v>847</v>
      </c>
      <c r="AD11" s="1671"/>
      <c r="AE11" s="1672"/>
      <c r="AF11" s="1676"/>
      <c r="AG11" s="1668"/>
      <c r="AH11" s="1668"/>
      <c r="AI11" s="597"/>
      <c r="AJ11" s="597"/>
      <c r="AK11" s="597"/>
      <c r="AL11" s="317"/>
      <c r="AM11" s="317"/>
      <c r="AN11" s="317"/>
      <c r="AO11" s="317"/>
      <c r="AP11" s="317"/>
      <c r="AQ11" s="317"/>
      <c r="AR11" s="317"/>
      <c r="AS11" s="317"/>
      <c r="AT11" s="317"/>
      <c r="AU11" s="317"/>
      <c r="AV11" s="317"/>
      <c r="AW11" s="317"/>
      <c r="AX11" s="317"/>
      <c r="AY11" s="317"/>
      <c r="AZ11" s="317"/>
      <c r="BA11" s="317"/>
      <c r="BB11" s="317"/>
      <c r="BC11" s="317"/>
      <c r="BD11" s="317"/>
      <c r="BE11" s="317"/>
      <c r="BF11" s="317"/>
      <c r="BG11" s="317"/>
      <c r="BH11" s="317"/>
      <c r="BI11" s="317"/>
      <c r="BJ11" s="317"/>
      <c r="BK11" s="317"/>
      <c r="BL11" s="317"/>
      <c r="BM11" s="317"/>
      <c r="BN11" s="317"/>
      <c r="BO11" s="317"/>
      <c r="BP11" s="317"/>
      <c r="BQ11" s="317"/>
      <c r="BR11" s="317"/>
      <c r="BS11" s="317"/>
      <c r="BT11" s="317"/>
      <c r="BU11" s="317"/>
      <c r="BV11" s="317"/>
      <c r="BW11" s="317"/>
      <c r="BX11" s="317"/>
      <c r="BY11" s="317"/>
      <c r="BZ11" s="317"/>
      <c r="CA11" s="317"/>
      <c r="CB11" s="317"/>
      <c r="CC11" s="317"/>
      <c r="CD11" s="317"/>
      <c r="CE11" s="317"/>
      <c r="CF11" s="317"/>
      <c r="CG11" s="317"/>
      <c r="CH11" s="317"/>
      <c r="CI11" s="317"/>
      <c r="CJ11" s="317"/>
      <c r="CK11" s="317"/>
      <c r="CL11" s="317"/>
      <c r="CM11" s="317"/>
      <c r="CN11" s="317"/>
      <c r="CO11" s="317"/>
      <c r="CP11" s="317"/>
      <c r="CQ11" s="317"/>
      <c r="CR11" s="317"/>
      <c r="CS11" s="317"/>
      <c r="CT11" s="317"/>
      <c r="CU11" s="317"/>
      <c r="CV11" s="317"/>
      <c r="CW11" s="317"/>
      <c r="CX11" s="317"/>
      <c r="CY11" s="317"/>
      <c r="CZ11" s="317"/>
      <c r="DA11" s="317"/>
      <c r="DB11" s="317"/>
      <c r="DC11" s="317"/>
      <c r="DD11" s="317"/>
      <c r="DE11" s="317"/>
      <c r="DF11" s="317"/>
      <c r="DG11" s="317"/>
      <c r="DH11" s="317"/>
      <c r="DI11" s="317"/>
      <c r="DJ11" s="317"/>
      <c r="DK11" s="317"/>
      <c r="DL11" s="317"/>
      <c r="DM11" s="317"/>
      <c r="DN11" s="317"/>
      <c r="DO11" s="317"/>
      <c r="DP11" s="317"/>
      <c r="DQ11" s="317"/>
      <c r="DR11" s="317"/>
      <c r="DS11" s="317"/>
      <c r="DT11" s="317"/>
      <c r="DU11" s="317"/>
      <c r="DV11" s="317"/>
      <c r="DW11" s="317"/>
      <c r="DX11" s="317"/>
      <c r="DY11" s="317"/>
      <c r="DZ11" s="317"/>
      <c r="EA11" s="317"/>
      <c r="EB11" s="317"/>
      <c r="EC11" s="317"/>
      <c r="ED11" s="317"/>
      <c r="EE11" s="317"/>
      <c r="EF11" s="317"/>
      <c r="EG11" s="317"/>
      <c r="EH11" s="317"/>
      <c r="EI11" s="317"/>
      <c r="EJ11" s="317"/>
      <c r="EK11" s="317"/>
      <c r="EL11" s="317"/>
      <c r="EM11" s="317"/>
      <c r="EN11" s="317"/>
      <c r="EO11" s="317"/>
      <c r="EP11" s="317"/>
      <c r="EQ11" s="317"/>
      <c r="ER11" s="317"/>
      <c r="ES11" s="317"/>
      <c r="ET11" s="317"/>
    </row>
    <row r="12" spans="1:150" ht="50.4" customHeight="1" x14ac:dyDescent="0.25">
      <c r="A12" s="1637"/>
      <c r="B12" s="1637"/>
      <c r="C12" s="1637"/>
      <c r="D12" s="1640"/>
      <c r="E12" s="1640"/>
      <c r="F12" s="1643"/>
      <c r="G12" s="1637"/>
      <c r="H12" s="1050" t="s">
        <v>350</v>
      </c>
      <c r="I12" s="1050" t="s">
        <v>351</v>
      </c>
      <c r="J12" s="1050" t="s">
        <v>352</v>
      </c>
      <c r="K12" s="1050" t="s">
        <v>350</v>
      </c>
      <c r="L12" s="1050" t="s">
        <v>353</v>
      </c>
      <c r="M12" s="1050" t="s">
        <v>352</v>
      </c>
      <c r="N12" s="1050" t="s">
        <v>350</v>
      </c>
      <c r="O12" s="1050" t="s">
        <v>353</v>
      </c>
      <c r="P12" s="1050" t="s">
        <v>352</v>
      </c>
      <c r="Q12" s="1050" t="s">
        <v>350</v>
      </c>
      <c r="R12" s="1050" t="s">
        <v>353</v>
      </c>
      <c r="S12" s="1050" t="s">
        <v>352</v>
      </c>
      <c r="T12" s="1050" t="s">
        <v>350</v>
      </c>
      <c r="U12" s="1050" t="s">
        <v>353</v>
      </c>
      <c r="V12" s="1050" t="s">
        <v>352</v>
      </c>
      <c r="W12" s="1050" t="s">
        <v>350</v>
      </c>
      <c r="X12" s="1050" t="s">
        <v>353</v>
      </c>
      <c r="Y12" s="1050" t="s">
        <v>352</v>
      </c>
      <c r="Z12" s="1050" t="s">
        <v>350</v>
      </c>
      <c r="AA12" s="1050" t="s">
        <v>353</v>
      </c>
      <c r="AB12" s="1050" t="s">
        <v>352</v>
      </c>
      <c r="AC12" s="1050" t="s">
        <v>350</v>
      </c>
      <c r="AD12" s="1050" t="s">
        <v>353</v>
      </c>
      <c r="AE12" s="1050" t="s">
        <v>352</v>
      </c>
      <c r="AF12" s="1676"/>
      <c r="AG12" s="1669"/>
      <c r="AH12" s="1669"/>
      <c r="AI12" s="597"/>
      <c r="AJ12" s="597"/>
      <c r="AK12" s="597"/>
      <c r="AL12" s="317"/>
      <c r="AM12" s="317"/>
      <c r="AN12" s="317"/>
      <c r="AO12" s="317"/>
      <c r="AP12" s="317"/>
      <c r="AQ12" s="317"/>
      <c r="AR12" s="317"/>
      <c r="AS12" s="317"/>
      <c r="AT12" s="317"/>
      <c r="AU12" s="317"/>
      <c r="AV12" s="317"/>
      <c r="AW12" s="317"/>
      <c r="AX12" s="317"/>
      <c r="AY12" s="317"/>
      <c r="AZ12" s="317"/>
      <c r="BA12" s="317"/>
      <c r="BB12" s="317"/>
      <c r="BC12" s="317"/>
      <c r="BD12" s="317"/>
      <c r="BE12" s="317"/>
      <c r="BF12" s="317"/>
      <c r="BG12" s="317"/>
      <c r="BH12" s="317"/>
      <c r="BI12" s="317"/>
      <c r="BJ12" s="317"/>
      <c r="BK12" s="317"/>
      <c r="BL12" s="317"/>
      <c r="BM12" s="317"/>
      <c r="BN12" s="317"/>
      <c r="BO12" s="317"/>
      <c r="BP12" s="317"/>
      <c r="BQ12" s="317"/>
      <c r="BR12" s="317"/>
      <c r="BS12" s="317"/>
      <c r="BT12" s="317"/>
      <c r="BU12" s="317"/>
      <c r="BV12" s="317"/>
      <c r="BW12" s="317"/>
      <c r="BX12" s="317"/>
      <c r="BY12" s="317"/>
      <c r="BZ12" s="317"/>
      <c r="CA12" s="317"/>
      <c r="CB12" s="317"/>
      <c r="CC12" s="317"/>
      <c r="CD12" s="317"/>
      <c r="CE12" s="317"/>
      <c r="CF12" s="317"/>
      <c r="CG12" s="317"/>
      <c r="CH12" s="317"/>
      <c r="CI12" s="317"/>
      <c r="CJ12" s="317"/>
      <c r="CK12" s="317"/>
      <c r="CL12" s="317"/>
      <c r="CM12" s="317"/>
      <c r="CN12" s="317"/>
      <c r="CO12" s="317"/>
      <c r="CP12" s="317"/>
      <c r="CQ12" s="317"/>
      <c r="CR12" s="317"/>
      <c r="CS12" s="317"/>
      <c r="CT12" s="317"/>
      <c r="CU12" s="317"/>
      <c r="CV12" s="317"/>
      <c r="CW12" s="317"/>
      <c r="CX12" s="317"/>
      <c r="CY12" s="317"/>
      <c r="CZ12" s="317"/>
      <c r="DA12" s="317"/>
      <c r="DB12" s="317"/>
      <c r="DC12" s="317"/>
      <c r="DD12" s="317"/>
      <c r="DE12" s="317"/>
      <c r="DF12" s="317"/>
      <c r="DG12" s="317"/>
      <c r="DH12" s="317"/>
      <c r="DI12" s="317"/>
      <c r="DJ12" s="317"/>
      <c r="DK12" s="317"/>
      <c r="DL12" s="317"/>
      <c r="DM12" s="317"/>
      <c r="DN12" s="317"/>
      <c r="DO12" s="317"/>
      <c r="DP12" s="317"/>
      <c r="DQ12" s="317"/>
      <c r="DR12" s="317"/>
      <c r="DS12" s="317"/>
      <c r="DT12" s="317"/>
      <c r="DU12" s="317"/>
      <c r="DV12" s="317"/>
      <c r="DW12" s="317"/>
      <c r="DX12" s="317"/>
      <c r="DY12" s="317"/>
      <c r="DZ12" s="317"/>
      <c r="EA12" s="317"/>
      <c r="EB12" s="317"/>
      <c r="EC12" s="317"/>
      <c r="ED12" s="317"/>
      <c r="EE12" s="317"/>
      <c r="EF12" s="317"/>
      <c r="EG12" s="317"/>
      <c r="EH12" s="317"/>
      <c r="EI12" s="317"/>
      <c r="EJ12" s="317"/>
      <c r="EK12" s="317"/>
      <c r="EL12" s="317"/>
      <c r="EM12" s="317"/>
      <c r="EN12" s="317"/>
      <c r="EO12" s="317"/>
      <c r="EP12" s="317"/>
      <c r="EQ12" s="317"/>
      <c r="ER12" s="317"/>
      <c r="ES12" s="317"/>
      <c r="ET12" s="317"/>
    </row>
    <row r="13" spans="1:150" s="317" customFormat="1" ht="9" customHeight="1" x14ac:dyDescent="0.25">
      <c r="A13" s="1636">
        <v>1230</v>
      </c>
      <c r="B13" s="1636">
        <v>130</v>
      </c>
      <c r="C13" s="1636">
        <v>131</v>
      </c>
      <c r="D13" s="1665"/>
      <c r="E13" s="1665"/>
      <c r="F13" s="1665"/>
      <c r="G13" s="1665"/>
      <c r="H13" s="1665"/>
      <c r="I13" s="1665"/>
      <c r="J13" s="1665"/>
      <c r="K13" s="1665"/>
      <c r="L13" s="1665"/>
      <c r="M13" s="1665"/>
      <c r="N13" s="1665"/>
      <c r="O13" s="1665"/>
      <c r="P13" s="1665"/>
      <c r="Q13" s="1665"/>
      <c r="R13" s="1665"/>
      <c r="S13" s="1665"/>
      <c r="T13" s="1665"/>
      <c r="U13" s="1665"/>
      <c r="V13" s="1665"/>
      <c r="W13" s="1665"/>
      <c r="X13" s="1665"/>
      <c r="Y13" s="1665"/>
      <c r="Z13" s="1665"/>
      <c r="AA13" s="1665"/>
      <c r="AB13" s="1665"/>
      <c r="AC13" s="1665"/>
      <c r="AD13" s="1665"/>
      <c r="AE13" s="1665"/>
      <c r="AF13" s="1665"/>
      <c r="AG13" s="1665"/>
      <c r="AH13" s="1666"/>
      <c r="AI13" s="597"/>
      <c r="AJ13" s="597"/>
      <c r="AK13" s="597"/>
    </row>
    <row r="14" spans="1:150" s="317" customFormat="1" ht="30" customHeight="1" x14ac:dyDescent="0.25">
      <c r="A14" s="1636"/>
      <c r="B14" s="1636"/>
      <c r="C14" s="1636"/>
      <c r="D14" s="1406">
        <v>1</v>
      </c>
      <c r="E14" s="1111" t="s">
        <v>789</v>
      </c>
      <c r="F14" s="1441">
        <f>ROUND(1477*1.072,-0.5)</f>
        <v>1583</v>
      </c>
      <c r="G14" s="1442">
        <v>107</v>
      </c>
      <c r="H14" s="1442">
        <v>0</v>
      </c>
      <c r="I14" s="1442">
        <v>100</v>
      </c>
      <c r="J14" s="1443">
        <f>F14*I14/100*H14</f>
        <v>0</v>
      </c>
      <c r="K14" s="1442">
        <v>0</v>
      </c>
      <c r="L14" s="1442">
        <v>100</v>
      </c>
      <c r="M14" s="1443">
        <f>F14*L14/100*K14</f>
        <v>0</v>
      </c>
      <c r="N14" s="1442">
        <v>21</v>
      </c>
      <c r="O14" s="1442">
        <v>100</v>
      </c>
      <c r="P14" s="1443">
        <f>F14*O14/100*N14</f>
        <v>33243</v>
      </c>
      <c r="Q14" s="1442">
        <v>0</v>
      </c>
      <c r="R14" s="1442">
        <v>50</v>
      </c>
      <c r="S14" s="1443">
        <f>F14*R14/100*Q14</f>
        <v>0</v>
      </c>
      <c r="T14" s="1442">
        <v>0</v>
      </c>
      <c r="U14" s="1442">
        <v>70</v>
      </c>
      <c r="V14" s="1443">
        <f>F14*U14/100*T14</f>
        <v>0</v>
      </c>
      <c r="W14" s="1442">
        <v>0</v>
      </c>
      <c r="X14" s="1442">
        <v>50</v>
      </c>
      <c r="Y14" s="1443">
        <f>F14*X14/100*W14</f>
        <v>0</v>
      </c>
      <c r="Z14" s="1442">
        <v>5</v>
      </c>
      <c r="AA14" s="1442">
        <v>50</v>
      </c>
      <c r="AB14" s="1443">
        <f>F14*AA14/100*Z14</f>
        <v>3957.5</v>
      </c>
      <c r="AC14" s="1442">
        <v>2</v>
      </c>
      <c r="AD14" s="1442">
        <v>100</v>
      </c>
      <c r="AE14" s="1443">
        <f>F14*AD14/100*AC14</f>
        <v>3166</v>
      </c>
      <c r="AF14" s="1443">
        <f>(F14*G14-J14-M14-P14-S14-V14-Y14-AB14-AE14)*9</f>
        <v>1161130.5</v>
      </c>
      <c r="AG14" s="1444">
        <f>AF14*1.052</f>
        <v>1221509.29</v>
      </c>
      <c r="AH14" s="1444">
        <f>AG14*1.046</f>
        <v>1277698.72</v>
      </c>
      <c r="AI14" s="597"/>
      <c r="AJ14" s="597"/>
      <c r="AK14" s="597"/>
    </row>
    <row r="15" spans="1:150" s="317" customFormat="1" ht="30" customHeight="1" x14ac:dyDescent="0.25">
      <c r="A15" s="1636"/>
      <c r="B15" s="1636"/>
      <c r="C15" s="1636"/>
      <c r="D15" s="1406">
        <v>2</v>
      </c>
      <c r="E15" s="1111" t="s">
        <v>790</v>
      </c>
      <c r="F15" s="1441">
        <f>ROUND(2215*1.072,-0.5)</f>
        <v>2374</v>
      </c>
      <c r="G15" s="1442">
        <v>76</v>
      </c>
      <c r="H15" s="1442">
        <v>0</v>
      </c>
      <c r="I15" s="1442">
        <v>100</v>
      </c>
      <c r="J15" s="1443">
        <f>F15*I15/100*H15</f>
        <v>0</v>
      </c>
      <c r="K15" s="1442">
        <v>0</v>
      </c>
      <c r="L15" s="1442">
        <v>100</v>
      </c>
      <c r="M15" s="1443">
        <f>F15*L15/100*K15</f>
        <v>0</v>
      </c>
      <c r="N15" s="1442">
        <v>10</v>
      </c>
      <c r="O15" s="1442">
        <v>100</v>
      </c>
      <c r="P15" s="1443">
        <f>F15*O15/100*N15</f>
        <v>23740</v>
      </c>
      <c r="Q15" s="1442">
        <v>0</v>
      </c>
      <c r="R15" s="1442">
        <v>50</v>
      </c>
      <c r="S15" s="1443">
        <f>F15*R15/100*Q15</f>
        <v>0</v>
      </c>
      <c r="T15" s="1442">
        <v>0</v>
      </c>
      <c r="U15" s="1442">
        <v>70</v>
      </c>
      <c r="V15" s="1443">
        <f>F15*U15/100*T15</f>
        <v>0</v>
      </c>
      <c r="W15" s="1442">
        <v>0</v>
      </c>
      <c r="X15" s="1442">
        <v>50</v>
      </c>
      <c r="Y15" s="1443">
        <f>F15*X15/100*W15</f>
        <v>0</v>
      </c>
      <c r="Z15" s="1442">
        <v>1</v>
      </c>
      <c r="AA15" s="1442">
        <v>50</v>
      </c>
      <c r="AB15" s="1443">
        <f>F15*AA15/100*Z15</f>
        <v>1187</v>
      </c>
      <c r="AC15" s="1442">
        <v>0</v>
      </c>
      <c r="AD15" s="1442">
        <v>100</v>
      </c>
      <c r="AE15" s="1443">
        <f t="shared" ref="AE15:AE18" si="0">F15*AD15/100*AC15</f>
        <v>0</v>
      </c>
      <c r="AF15" s="1443">
        <f t="shared" ref="AF15:AF18" si="1">(F15*G15-J15-M15-P15-S15-V15-Y15-AB15-AE15)*9</f>
        <v>1399473</v>
      </c>
      <c r="AG15" s="1444">
        <f t="shared" ref="AG15:AG18" si="2">AF15*1.052</f>
        <v>1472245.6</v>
      </c>
      <c r="AH15" s="1444">
        <f t="shared" ref="AH15:AH18" si="3">AG15*1.046</f>
        <v>1539968.9</v>
      </c>
      <c r="AI15" s="597"/>
      <c r="AJ15" s="597"/>
      <c r="AK15" s="597"/>
    </row>
    <row r="16" spans="1:150" s="317" customFormat="1" ht="30" customHeight="1" x14ac:dyDescent="0.25">
      <c r="A16" s="1636"/>
      <c r="B16" s="1636"/>
      <c r="C16" s="1636"/>
      <c r="D16" s="1406">
        <v>3</v>
      </c>
      <c r="E16" s="1112" t="s">
        <v>911</v>
      </c>
      <c r="F16" s="1441">
        <f>ROUND(1477*1.072,-0.5)</f>
        <v>1583</v>
      </c>
      <c r="G16" s="1442">
        <v>25</v>
      </c>
      <c r="H16" s="1442">
        <v>0</v>
      </c>
      <c r="I16" s="1442">
        <v>100</v>
      </c>
      <c r="J16" s="1443">
        <f>F16*I16/100*H16</f>
        <v>0</v>
      </c>
      <c r="K16" s="1442">
        <v>0</v>
      </c>
      <c r="L16" s="1442">
        <v>100</v>
      </c>
      <c r="M16" s="1443">
        <f>F16*L16/100*K16</f>
        <v>0</v>
      </c>
      <c r="N16" s="1442">
        <v>1</v>
      </c>
      <c r="O16" s="1442">
        <v>100</v>
      </c>
      <c r="P16" s="1443">
        <f>F16*O16/100*N16</f>
        <v>1583</v>
      </c>
      <c r="Q16" s="1442">
        <v>0</v>
      </c>
      <c r="R16" s="1442">
        <v>50</v>
      </c>
      <c r="S16" s="1443">
        <f>F16*R16/100*Q16</f>
        <v>0</v>
      </c>
      <c r="T16" s="1442">
        <v>0</v>
      </c>
      <c r="U16" s="1442">
        <v>70</v>
      </c>
      <c r="V16" s="1443">
        <f>F16*U16/100*T16</f>
        <v>0</v>
      </c>
      <c r="W16" s="1442">
        <v>0</v>
      </c>
      <c r="X16" s="1442">
        <v>50</v>
      </c>
      <c r="Y16" s="1443">
        <f>F16*X16/100*W16</f>
        <v>0</v>
      </c>
      <c r="Z16" s="1442">
        <v>0</v>
      </c>
      <c r="AA16" s="1442">
        <v>50</v>
      </c>
      <c r="AB16" s="1443">
        <f>F16*AA16/100*Z16</f>
        <v>0</v>
      </c>
      <c r="AC16" s="1442">
        <v>0</v>
      </c>
      <c r="AD16" s="1442">
        <v>100</v>
      </c>
      <c r="AE16" s="1443">
        <f>F16*AD16/100*AC16</f>
        <v>0</v>
      </c>
      <c r="AF16" s="1443">
        <f>(F16*G16-J16-M16-P16-S16-V16-Y16-AB16-AE16)*9</f>
        <v>341928</v>
      </c>
      <c r="AG16" s="1444">
        <f t="shared" si="2"/>
        <v>359708.26</v>
      </c>
      <c r="AH16" s="1444">
        <f t="shared" si="3"/>
        <v>376254.84</v>
      </c>
      <c r="AI16" s="597"/>
      <c r="AJ16" s="597"/>
      <c r="AK16" s="597"/>
    </row>
    <row r="17" spans="1:38" s="317" customFormat="1" ht="51.6" customHeight="1" x14ac:dyDescent="0.25">
      <c r="A17" s="1636"/>
      <c r="B17" s="1636"/>
      <c r="C17" s="1636"/>
      <c r="D17" s="1406">
        <v>4</v>
      </c>
      <c r="E17" s="1111" t="s">
        <v>912</v>
      </c>
      <c r="F17" s="1441">
        <f>ROUND(1477*1.072,-0.5)</f>
        <v>1583</v>
      </c>
      <c r="G17" s="1442">
        <v>38</v>
      </c>
      <c r="H17" s="1442">
        <v>0</v>
      </c>
      <c r="I17" s="1442">
        <v>100</v>
      </c>
      <c r="J17" s="1443">
        <f>F17*I17/100*H17</f>
        <v>0</v>
      </c>
      <c r="K17" s="1442">
        <v>0</v>
      </c>
      <c r="L17" s="1442">
        <v>100</v>
      </c>
      <c r="M17" s="1443">
        <f>F17*L17/100*K17</f>
        <v>0</v>
      </c>
      <c r="N17" s="1442">
        <v>3</v>
      </c>
      <c r="O17" s="1442">
        <v>100</v>
      </c>
      <c r="P17" s="1443">
        <f t="shared" ref="P17" si="4">F17*O17/100*N17</f>
        <v>4749</v>
      </c>
      <c r="Q17" s="1442">
        <v>0</v>
      </c>
      <c r="R17" s="1442">
        <v>50</v>
      </c>
      <c r="S17" s="1443">
        <f>F17*R17/100*Q17</f>
        <v>0</v>
      </c>
      <c r="T17" s="1442">
        <v>0</v>
      </c>
      <c r="U17" s="1442">
        <v>70</v>
      </c>
      <c r="V17" s="1443">
        <f>F17*U17/100*T17</f>
        <v>0</v>
      </c>
      <c r="W17" s="1442">
        <v>0</v>
      </c>
      <c r="X17" s="1442">
        <v>50</v>
      </c>
      <c r="Y17" s="1443">
        <f>F17*X17/100*W17</f>
        <v>0</v>
      </c>
      <c r="Z17" s="1442">
        <v>0</v>
      </c>
      <c r="AA17" s="1442">
        <v>50</v>
      </c>
      <c r="AB17" s="1443">
        <f>F17*AA17/100*Z17</f>
        <v>0</v>
      </c>
      <c r="AC17" s="1442">
        <v>0</v>
      </c>
      <c r="AD17" s="1442">
        <v>100</v>
      </c>
      <c r="AE17" s="1443">
        <f t="shared" si="0"/>
        <v>0</v>
      </c>
      <c r="AF17" s="1443">
        <f t="shared" si="1"/>
        <v>498645</v>
      </c>
      <c r="AG17" s="1444">
        <f t="shared" si="2"/>
        <v>524574.54</v>
      </c>
      <c r="AH17" s="1444">
        <f t="shared" si="3"/>
        <v>548704.97</v>
      </c>
      <c r="AI17" s="597"/>
      <c r="AJ17" s="597"/>
      <c r="AK17" s="597"/>
    </row>
    <row r="18" spans="1:38" s="317" customFormat="1" ht="51.6" customHeight="1" x14ac:dyDescent="0.25">
      <c r="A18" s="1636"/>
      <c r="B18" s="1636"/>
      <c r="C18" s="1636"/>
      <c r="D18" s="1405">
        <v>5</v>
      </c>
      <c r="E18" s="1111" t="s">
        <v>913</v>
      </c>
      <c r="F18" s="1441">
        <f>ROUND(1477*1.072,-0.5)</f>
        <v>1583</v>
      </c>
      <c r="G18" s="1442">
        <v>14</v>
      </c>
      <c r="H18" s="1442">
        <v>0</v>
      </c>
      <c r="I18" s="1442">
        <v>100</v>
      </c>
      <c r="J18" s="1443">
        <f>F18*I18/100*H18</f>
        <v>0</v>
      </c>
      <c r="K18" s="1442">
        <v>0</v>
      </c>
      <c r="L18" s="1442">
        <v>100</v>
      </c>
      <c r="M18" s="1443">
        <f>F18*L18/100*K18</f>
        <v>0</v>
      </c>
      <c r="N18" s="1442">
        <v>1</v>
      </c>
      <c r="O18" s="1442">
        <v>100</v>
      </c>
      <c r="P18" s="1443">
        <f>F18*O18/100*N18</f>
        <v>1583</v>
      </c>
      <c r="Q18" s="1442">
        <v>0</v>
      </c>
      <c r="R18" s="1442">
        <v>50</v>
      </c>
      <c r="S18" s="1443">
        <f>F18*R18/100*Q18</f>
        <v>0</v>
      </c>
      <c r="T18" s="1442">
        <v>0</v>
      </c>
      <c r="U18" s="1442">
        <v>70</v>
      </c>
      <c r="V18" s="1443">
        <f>F18*U18/100*T18</f>
        <v>0</v>
      </c>
      <c r="W18" s="1442"/>
      <c r="X18" s="1442"/>
      <c r="Y18" s="1443"/>
      <c r="Z18" s="1442">
        <v>0</v>
      </c>
      <c r="AA18" s="1442">
        <v>50</v>
      </c>
      <c r="AB18" s="1443">
        <f>F18*AA18/100*Z18</f>
        <v>0</v>
      </c>
      <c r="AC18" s="1442">
        <v>0</v>
      </c>
      <c r="AD18" s="1442">
        <v>100</v>
      </c>
      <c r="AE18" s="1443">
        <f t="shared" si="0"/>
        <v>0</v>
      </c>
      <c r="AF18" s="1443">
        <f t="shared" si="1"/>
        <v>185211</v>
      </c>
      <c r="AG18" s="1444">
        <f t="shared" si="2"/>
        <v>194841.97</v>
      </c>
      <c r="AH18" s="1444">
        <f t="shared" si="3"/>
        <v>203804.7</v>
      </c>
      <c r="AI18" s="597"/>
      <c r="AJ18" s="597"/>
      <c r="AK18" s="597"/>
    </row>
    <row r="19" spans="1:38" s="317" customFormat="1" ht="30" customHeight="1" x14ac:dyDescent="0.25">
      <c r="A19" s="1650" t="s">
        <v>72</v>
      </c>
      <c r="B19" s="1651"/>
      <c r="C19" s="1651"/>
      <c r="D19" s="1651"/>
      <c r="E19" s="1651"/>
      <c r="F19" s="1652"/>
      <c r="G19" s="1052">
        <f>SUM(G14:G17)</f>
        <v>246</v>
      </c>
      <c r="H19" s="1052">
        <f>SUM(H14:H17)</f>
        <v>0</v>
      </c>
      <c r="I19" s="1052"/>
      <c r="J19" s="253">
        <f>SUM(J14:J17)</f>
        <v>0</v>
      </c>
      <c r="K19" s="1052">
        <f>SUM(K14:K17)</f>
        <v>0</v>
      </c>
      <c r="L19" s="1052"/>
      <c r="M19" s="253">
        <f>SUM(M14:M17)</f>
        <v>0</v>
      </c>
      <c r="N19" s="1052">
        <f>SUM(N14:N17)</f>
        <v>35</v>
      </c>
      <c r="O19" s="1052"/>
      <c r="P19" s="253">
        <f>SUM(P14:P17)</f>
        <v>63315</v>
      </c>
      <c r="Q19" s="1052">
        <f>SUM(Q14:Q17)</f>
        <v>0</v>
      </c>
      <c r="R19" s="1052"/>
      <c r="S19" s="253">
        <f>SUM(S14:S17)</f>
        <v>0</v>
      </c>
      <c r="T19" s="1052">
        <f>SUM(T14:T17)</f>
        <v>0</v>
      </c>
      <c r="U19" s="1052"/>
      <c r="V19" s="253">
        <f>SUM(V14:V17)</f>
        <v>0</v>
      </c>
      <c r="W19" s="1052">
        <f>SUM(W14:W17)</f>
        <v>0</v>
      </c>
      <c r="X19" s="1052"/>
      <c r="Y19" s="1052">
        <f>SUM(Y14:Y17)</f>
        <v>0</v>
      </c>
      <c r="Z19" s="1052">
        <f>SUM(Z14:Z17)</f>
        <v>6</v>
      </c>
      <c r="AA19" s="1052"/>
      <c r="AB19" s="253">
        <f>SUM(AB14:AB17)</f>
        <v>5144.5</v>
      </c>
      <c r="AC19" s="1103">
        <f>SUM(AC14:AC17)</f>
        <v>2</v>
      </c>
      <c r="AD19" s="253"/>
      <c r="AE19" s="253">
        <f>SUM(AE14:AE17)</f>
        <v>3166</v>
      </c>
      <c r="AF19" s="1445">
        <f>ROUNDDOWN(SUM(AF14:AF18),-2)</f>
        <v>3586300</v>
      </c>
      <c r="AG19" s="1445">
        <f t="shared" ref="AG19:AH19" si="5">ROUNDDOWN(SUM(AG14:AG18),-2)</f>
        <v>3772800</v>
      </c>
      <c r="AH19" s="1445">
        <f t="shared" si="5"/>
        <v>3946400</v>
      </c>
      <c r="AI19" s="597"/>
      <c r="AJ19" s="597"/>
      <c r="AK19" s="597"/>
    </row>
    <row r="20" spans="1:38" s="498" customFormat="1" x14ac:dyDescent="0.25">
      <c r="A20" s="938"/>
      <c r="B20" s="938"/>
      <c r="C20" s="938"/>
      <c r="D20" s="938"/>
      <c r="E20" s="938"/>
      <c r="F20" s="938"/>
      <c r="G20" s="939"/>
      <c r="H20" s="940"/>
      <c r="I20" s="140"/>
      <c r="J20" s="136"/>
      <c r="K20" s="136"/>
      <c r="L20" s="136"/>
      <c r="M20" s="140"/>
      <c r="N20" s="136"/>
      <c r="O20" s="136"/>
      <c r="P20" s="140"/>
      <c r="Q20" s="136"/>
      <c r="R20" s="136"/>
      <c r="S20" s="140"/>
      <c r="T20" s="136"/>
      <c r="U20" s="136"/>
      <c r="V20" s="140"/>
      <c r="W20" s="941"/>
      <c r="X20" s="941"/>
      <c r="Y20" s="140"/>
      <c r="Z20" s="939"/>
      <c r="AA20" s="939"/>
      <c r="AB20" s="942"/>
      <c r="AC20" s="942"/>
      <c r="AD20" s="942"/>
      <c r="AE20" s="942"/>
      <c r="AF20" s="939"/>
      <c r="AG20" s="943"/>
      <c r="AH20" s="942"/>
      <c r="AI20" s="140"/>
      <c r="AJ20" s="944"/>
      <c r="AK20" s="944"/>
      <c r="AL20" s="499"/>
    </row>
    <row r="21" spans="1:38" s="500" customFormat="1" ht="17.25" customHeight="1" x14ac:dyDescent="0.3">
      <c r="A21" s="945"/>
      <c r="B21" s="945"/>
      <c r="C21" s="945"/>
      <c r="D21" s="945"/>
      <c r="E21" s="945"/>
      <c r="F21" s="945"/>
      <c r="G21" s="945"/>
      <c r="H21" s="946"/>
      <c r="I21" s="947"/>
      <c r="J21" s="946"/>
      <c r="K21" s="946"/>
      <c r="L21" s="946"/>
      <c r="M21" s="947"/>
      <c r="N21" s="946"/>
      <c r="O21" s="946"/>
      <c r="P21" s="947"/>
      <c r="Q21" s="946"/>
      <c r="R21" s="946"/>
      <c r="S21" s="947"/>
      <c r="T21" s="946"/>
      <c r="U21" s="946"/>
      <c r="V21" s="947"/>
      <c r="W21" s="948"/>
      <c r="X21" s="948"/>
      <c r="Y21" s="947"/>
      <c r="Z21" s="946"/>
      <c r="AA21" s="946"/>
      <c r="AB21" s="947"/>
      <c r="AC21" s="947"/>
      <c r="AD21" s="947"/>
      <c r="AE21" s="947"/>
      <c r="AF21" s="946"/>
      <c r="AG21" s="947"/>
      <c r="AH21" s="947"/>
      <c r="AI21" s="949"/>
      <c r="AJ21" s="949"/>
      <c r="AK21" s="950"/>
      <c r="AL21" s="501"/>
    </row>
    <row r="22" spans="1:38" s="597" customFormat="1" ht="40.5" hidden="1" customHeight="1" x14ac:dyDescent="0.25">
      <c r="A22" s="1685" t="s">
        <v>819</v>
      </c>
      <c r="B22" s="1685"/>
      <c r="C22" s="1685"/>
      <c r="D22" s="1685"/>
      <c r="E22" s="1685"/>
      <c r="F22" s="1685"/>
      <c r="G22" s="1685"/>
      <c r="H22" s="1685"/>
      <c r="I22" s="1685"/>
      <c r="J22" s="1685"/>
      <c r="K22" s="1685"/>
      <c r="L22" s="1685"/>
      <c r="M22" s="1685"/>
      <c r="N22" s="1685"/>
      <c r="O22" s="1685"/>
      <c r="P22" s="1685"/>
      <c r="Q22" s="1685"/>
      <c r="AF22" s="821"/>
      <c r="AG22" s="821"/>
      <c r="AH22" s="821"/>
    </row>
    <row r="23" spans="1:38" s="317" customFormat="1" hidden="1" x14ac:dyDescent="0.25">
      <c r="A23" s="597"/>
      <c r="B23" s="597"/>
      <c r="C23" s="597"/>
      <c r="D23" s="597"/>
      <c r="E23" s="597"/>
      <c r="F23" s="597"/>
      <c r="G23" s="597"/>
      <c r="H23" s="597"/>
      <c r="I23" s="597"/>
      <c r="J23" s="597"/>
      <c r="K23" s="597"/>
      <c r="L23" s="597"/>
      <c r="M23" s="597"/>
      <c r="N23" s="597"/>
      <c r="O23" s="597"/>
      <c r="P23" s="597"/>
      <c r="Q23" s="597"/>
      <c r="R23" s="597"/>
      <c r="S23" s="597"/>
      <c r="T23" s="597"/>
      <c r="U23" s="597"/>
      <c r="V23" s="597"/>
      <c r="W23" s="597"/>
      <c r="X23" s="597"/>
      <c r="Y23" s="597"/>
      <c r="Z23" s="597"/>
      <c r="AA23" s="597"/>
      <c r="AB23" s="597"/>
      <c r="AC23" s="597"/>
      <c r="AD23" s="597"/>
      <c r="AE23" s="597"/>
      <c r="AF23" s="597"/>
      <c r="AG23" s="597"/>
      <c r="AH23" s="597"/>
      <c r="AI23" s="597"/>
      <c r="AJ23" s="597"/>
      <c r="AK23" s="597"/>
    </row>
    <row r="24" spans="1:38" ht="15" hidden="1" customHeight="1" x14ac:dyDescent="0.25">
      <c r="A24" s="1630" t="s">
        <v>688</v>
      </c>
      <c r="B24" s="1630" t="s">
        <v>446</v>
      </c>
      <c r="C24" s="1630" t="s">
        <v>332</v>
      </c>
      <c r="D24" s="1631" t="s">
        <v>179</v>
      </c>
      <c r="E24" s="1631" t="s">
        <v>180</v>
      </c>
      <c r="F24" s="1631" t="s">
        <v>355</v>
      </c>
      <c r="G24" s="1632" t="s">
        <v>820</v>
      </c>
      <c r="H24" s="1632" t="s">
        <v>821</v>
      </c>
      <c r="I24" s="1631" t="s">
        <v>822</v>
      </c>
      <c r="J24" s="1631" t="s">
        <v>355</v>
      </c>
      <c r="K24" s="1632" t="s">
        <v>820</v>
      </c>
      <c r="L24" s="1631" t="s">
        <v>821</v>
      </c>
      <c r="M24" s="1631" t="s">
        <v>822</v>
      </c>
      <c r="N24" s="1631" t="s">
        <v>355</v>
      </c>
      <c r="O24" s="1632" t="s">
        <v>820</v>
      </c>
      <c r="P24" s="1631" t="s">
        <v>821</v>
      </c>
      <c r="Q24" s="1631" t="s">
        <v>822</v>
      </c>
      <c r="R24" s="597"/>
      <c r="S24" s="597"/>
      <c r="T24" s="597"/>
      <c r="U24" s="597"/>
      <c r="V24" s="597"/>
      <c r="W24" s="597"/>
      <c r="X24" s="597"/>
      <c r="Y24" s="597"/>
      <c r="Z24" s="597"/>
      <c r="AA24" s="597"/>
      <c r="AB24" s="597"/>
      <c r="AC24" s="597"/>
      <c r="AD24" s="597"/>
      <c r="AE24" s="597"/>
      <c r="AF24" s="597"/>
      <c r="AG24" s="597"/>
      <c r="AH24" s="597"/>
      <c r="AI24" s="597"/>
      <c r="AJ24" s="597"/>
      <c r="AK24" s="597"/>
    </row>
    <row r="25" spans="1:38" s="317" customFormat="1" ht="51" hidden="1" customHeight="1" x14ac:dyDescent="0.25">
      <c r="A25" s="1630"/>
      <c r="B25" s="1630"/>
      <c r="C25" s="1630"/>
      <c r="D25" s="1631"/>
      <c r="E25" s="1631"/>
      <c r="F25" s="1631"/>
      <c r="G25" s="1634"/>
      <c r="H25" s="1634"/>
      <c r="I25" s="1631"/>
      <c r="J25" s="1631"/>
      <c r="K25" s="1634"/>
      <c r="L25" s="1631"/>
      <c r="M25" s="1631"/>
      <c r="N25" s="1631"/>
      <c r="O25" s="1634"/>
      <c r="P25" s="1631"/>
      <c r="Q25" s="1631"/>
      <c r="R25" s="597"/>
      <c r="S25" s="597"/>
      <c r="T25" s="597"/>
      <c r="U25" s="597"/>
      <c r="V25" s="597"/>
      <c r="W25" s="597"/>
      <c r="X25" s="597"/>
      <c r="Y25" s="597"/>
      <c r="Z25" s="597"/>
      <c r="AA25" s="597"/>
      <c r="AB25" s="597"/>
      <c r="AC25" s="597"/>
      <c r="AD25" s="597"/>
      <c r="AE25" s="597"/>
      <c r="AF25" s="597"/>
      <c r="AG25" s="597"/>
      <c r="AH25" s="597"/>
      <c r="AI25" s="597"/>
      <c r="AJ25" s="597"/>
      <c r="AK25" s="597"/>
    </row>
    <row r="26" spans="1:38" s="317" customFormat="1" hidden="1" x14ac:dyDescent="0.25">
      <c r="A26" s="1630"/>
      <c r="B26" s="1630"/>
      <c r="C26" s="1630"/>
      <c r="D26" s="1631"/>
      <c r="E26" s="1631"/>
      <c r="F26" s="1631" t="s">
        <v>392</v>
      </c>
      <c r="G26" s="1631"/>
      <c r="H26" s="1631"/>
      <c r="I26" s="1631"/>
      <c r="J26" s="1631" t="s">
        <v>436</v>
      </c>
      <c r="K26" s="1631"/>
      <c r="L26" s="1631"/>
      <c r="M26" s="1631"/>
      <c r="N26" s="1631" t="s">
        <v>692</v>
      </c>
      <c r="O26" s="1631"/>
      <c r="P26" s="1631"/>
      <c r="Q26" s="1631"/>
      <c r="R26" s="597"/>
      <c r="S26" s="597"/>
      <c r="T26" s="597"/>
      <c r="U26" s="597"/>
      <c r="V26" s="597"/>
      <c r="W26" s="597"/>
      <c r="X26" s="597"/>
      <c r="Y26" s="597"/>
      <c r="Z26" s="597"/>
      <c r="AA26" s="597"/>
      <c r="AB26" s="597"/>
      <c r="AC26" s="597"/>
      <c r="AD26" s="597"/>
      <c r="AE26" s="597"/>
      <c r="AF26" s="597"/>
      <c r="AG26" s="597"/>
      <c r="AH26" s="597"/>
      <c r="AI26" s="597"/>
      <c r="AJ26" s="597"/>
      <c r="AK26" s="597"/>
    </row>
    <row r="27" spans="1:38" s="317" customFormat="1" hidden="1" x14ac:dyDescent="0.25">
      <c r="A27" s="798">
        <v>1</v>
      </c>
      <c r="B27" s="798">
        <v>2</v>
      </c>
      <c r="C27" s="798">
        <v>3</v>
      </c>
      <c r="D27" s="798">
        <v>4</v>
      </c>
      <c r="E27" s="798">
        <v>5</v>
      </c>
      <c r="F27" s="798">
        <v>6</v>
      </c>
      <c r="G27" s="798">
        <v>7</v>
      </c>
      <c r="H27" s="798">
        <v>8</v>
      </c>
      <c r="I27" s="798">
        <v>9</v>
      </c>
      <c r="J27" s="798">
        <v>10</v>
      </c>
      <c r="K27" s="798">
        <v>11</v>
      </c>
      <c r="L27" s="798">
        <v>12</v>
      </c>
      <c r="M27" s="798">
        <v>13</v>
      </c>
      <c r="N27" s="798">
        <v>14</v>
      </c>
      <c r="O27" s="798">
        <v>15</v>
      </c>
      <c r="P27" s="798">
        <v>16</v>
      </c>
      <c r="Q27" s="798">
        <v>17</v>
      </c>
      <c r="R27" s="597"/>
      <c r="S27" s="597"/>
      <c r="T27" s="597"/>
      <c r="U27" s="597"/>
      <c r="V27" s="597"/>
      <c r="W27" s="597"/>
      <c r="X27" s="597"/>
      <c r="Y27" s="597"/>
      <c r="Z27" s="597"/>
      <c r="AA27" s="597"/>
      <c r="AB27" s="597"/>
      <c r="AC27" s="597"/>
      <c r="AD27" s="597"/>
      <c r="AE27" s="597"/>
      <c r="AF27" s="597"/>
      <c r="AG27" s="597"/>
      <c r="AH27" s="597"/>
      <c r="AI27" s="597"/>
      <c r="AJ27" s="597"/>
      <c r="AK27" s="597"/>
    </row>
    <row r="28" spans="1:38" s="317" customFormat="1" ht="35.25" hidden="1" customHeight="1" x14ac:dyDescent="0.25">
      <c r="A28" s="1654">
        <v>1240</v>
      </c>
      <c r="B28" s="1654">
        <v>130</v>
      </c>
      <c r="C28" s="1654">
        <v>131</v>
      </c>
      <c r="D28" s="302" t="s">
        <v>824</v>
      </c>
      <c r="E28" s="931" t="s">
        <v>823</v>
      </c>
      <c r="F28" s="822">
        <v>12</v>
      </c>
      <c r="G28" s="822"/>
      <c r="H28" s="951"/>
      <c r="I28" s="822">
        <f>F28*G28*H28</f>
        <v>0</v>
      </c>
      <c r="J28" s="822"/>
      <c r="K28" s="822"/>
      <c r="L28" s="822"/>
      <c r="M28" s="822"/>
      <c r="N28" s="822"/>
      <c r="O28" s="822"/>
      <c r="P28" s="822"/>
      <c r="Q28" s="822"/>
      <c r="R28" s="597"/>
      <c r="S28" s="597"/>
      <c r="T28" s="597"/>
      <c r="U28" s="597"/>
      <c r="V28" s="597"/>
      <c r="W28" s="597"/>
      <c r="X28" s="597"/>
      <c r="Y28" s="597"/>
      <c r="Z28" s="597"/>
      <c r="AA28" s="597"/>
      <c r="AB28" s="597"/>
      <c r="AC28" s="597"/>
      <c r="AD28" s="597"/>
      <c r="AE28" s="597"/>
      <c r="AF28" s="597"/>
      <c r="AG28" s="597"/>
      <c r="AH28" s="597"/>
      <c r="AI28" s="597"/>
      <c r="AJ28" s="597"/>
      <c r="AK28" s="597"/>
    </row>
    <row r="29" spans="1:38" s="317" customFormat="1" ht="32.25" hidden="1" customHeight="1" x14ac:dyDescent="0.25">
      <c r="A29" s="1655"/>
      <c r="B29" s="1655"/>
      <c r="C29" s="1655"/>
      <c r="D29" s="952" t="s">
        <v>825</v>
      </c>
      <c r="E29" s="931" t="s">
        <v>823</v>
      </c>
      <c r="F29" s="822">
        <v>12</v>
      </c>
      <c r="G29" s="822"/>
      <c r="H29" s="953"/>
      <c r="I29" s="822">
        <f>F29*G29*H29</f>
        <v>0</v>
      </c>
      <c r="J29" s="822"/>
      <c r="K29" s="822"/>
      <c r="L29" s="953"/>
      <c r="M29" s="822"/>
      <c r="N29" s="822"/>
      <c r="O29" s="822"/>
      <c r="P29" s="953"/>
      <c r="Q29" s="822"/>
      <c r="R29" s="597"/>
      <c r="S29" s="597"/>
      <c r="T29" s="597"/>
      <c r="U29" s="597"/>
      <c r="V29" s="597"/>
      <c r="W29" s="597"/>
      <c r="X29" s="597"/>
      <c r="Y29" s="597"/>
      <c r="Z29" s="597"/>
      <c r="AA29" s="597"/>
      <c r="AB29" s="597"/>
      <c r="AC29" s="597"/>
      <c r="AD29" s="597"/>
      <c r="AE29" s="597"/>
      <c r="AF29" s="597"/>
      <c r="AG29" s="597"/>
      <c r="AH29" s="597"/>
      <c r="AI29" s="597"/>
      <c r="AJ29" s="597"/>
      <c r="AK29" s="597"/>
    </row>
    <row r="30" spans="1:38" s="317" customFormat="1" ht="33.75" hidden="1" customHeight="1" x14ac:dyDescent="0.25">
      <c r="A30" s="1655"/>
      <c r="B30" s="1655"/>
      <c r="C30" s="1655"/>
      <c r="D30" s="952" t="s">
        <v>826</v>
      </c>
      <c r="E30" s="931" t="s">
        <v>823</v>
      </c>
      <c r="F30" s="822">
        <v>12</v>
      </c>
      <c r="G30" s="822"/>
      <c r="H30" s="953"/>
      <c r="I30" s="822">
        <f t="shared" ref="I30:I36" si="6">F30*G30*H30</f>
        <v>0</v>
      </c>
      <c r="J30" s="822"/>
      <c r="K30" s="822"/>
      <c r="L30" s="953"/>
      <c r="M30" s="822"/>
      <c r="N30" s="822"/>
      <c r="O30" s="822"/>
      <c r="P30" s="953"/>
      <c r="Q30" s="822"/>
      <c r="R30" s="597"/>
      <c r="S30" s="597"/>
      <c r="T30" s="597"/>
      <c r="U30" s="597"/>
      <c r="V30" s="597"/>
      <c r="W30" s="597"/>
      <c r="X30" s="597"/>
      <c r="Y30" s="597"/>
      <c r="Z30" s="597"/>
      <c r="AA30" s="597"/>
      <c r="AB30" s="597"/>
      <c r="AC30" s="597"/>
      <c r="AD30" s="597"/>
      <c r="AE30" s="597"/>
      <c r="AF30" s="597"/>
      <c r="AG30" s="597"/>
      <c r="AH30" s="597"/>
      <c r="AI30" s="597"/>
      <c r="AJ30" s="597"/>
      <c r="AK30" s="597"/>
    </row>
    <row r="31" spans="1:38" s="317" customFormat="1" ht="33.75" hidden="1" customHeight="1" x14ac:dyDescent="0.25">
      <c r="A31" s="1655"/>
      <c r="B31" s="1655"/>
      <c r="C31" s="1655"/>
      <c r="D31" s="952" t="s">
        <v>827</v>
      </c>
      <c r="E31" s="931" t="s">
        <v>823</v>
      </c>
      <c r="F31" s="822">
        <v>12</v>
      </c>
      <c r="G31" s="822"/>
      <c r="H31" s="953"/>
      <c r="I31" s="822">
        <f t="shared" si="6"/>
        <v>0</v>
      </c>
      <c r="J31" s="822"/>
      <c r="K31" s="822"/>
      <c r="L31" s="953"/>
      <c r="M31" s="822"/>
      <c r="N31" s="822"/>
      <c r="O31" s="822"/>
      <c r="P31" s="953"/>
      <c r="Q31" s="822"/>
      <c r="R31" s="597"/>
      <c r="S31" s="597"/>
      <c r="T31" s="597"/>
      <c r="U31" s="597"/>
      <c r="V31" s="597"/>
      <c r="W31" s="597"/>
      <c r="X31" s="597"/>
      <c r="Y31" s="597"/>
      <c r="Z31" s="597"/>
      <c r="AA31" s="597"/>
      <c r="AB31" s="597"/>
      <c r="AC31" s="597"/>
      <c r="AD31" s="597"/>
      <c r="AE31" s="597"/>
      <c r="AF31" s="597"/>
      <c r="AG31" s="597"/>
      <c r="AH31" s="597"/>
      <c r="AI31" s="597"/>
      <c r="AJ31" s="597"/>
      <c r="AK31" s="597"/>
    </row>
    <row r="32" spans="1:38" s="317" customFormat="1" ht="35.25" hidden="1" customHeight="1" x14ac:dyDescent="0.25">
      <c r="A32" s="1655"/>
      <c r="B32" s="1655"/>
      <c r="C32" s="1655"/>
      <c r="D32" s="302" t="s">
        <v>828</v>
      </c>
      <c r="E32" s="931" t="s">
        <v>823</v>
      </c>
      <c r="F32" s="822">
        <v>12</v>
      </c>
      <c r="G32" s="822"/>
      <c r="H32" s="951"/>
      <c r="I32" s="822">
        <f t="shared" si="6"/>
        <v>0</v>
      </c>
      <c r="J32" s="822"/>
      <c r="K32" s="822"/>
      <c r="L32" s="822"/>
      <c r="M32" s="822"/>
      <c r="N32" s="822"/>
      <c r="O32" s="822"/>
      <c r="P32" s="822"/>
      <c r="Q32" s="822"/>
      <c r="R32" s="597"/>
      <c r="S32" s="597"/>
      <c r="T32" s="597"/>
      <c r="U32" s="597"/>
      <c r="V32" s="597"/>
      <c r="W32" s="597"/>
      <c r="X32" s="597"/>
      <c r="Y32" s="597"/>
      <c r="Z32" s="597"/>
      <c r="AA32" s="597"/>
      <c r="AB32" s="597"/>
      <c r="AC32" s="597"/>
      <c r="AD32" s="597"/>
      <c r="AE32" s="597"/>
      <c r="AF32" s="597"/>
      <c r="AG32" s="597"/>
      <c r="AH32" s="597"/>
      <c r="AI32" s="597"/>
      <c r="AJ32" s="597"/>
      <c r="AK32" s="597"/>
    </row>
    <row r="33" spans="1:37" s="317" customFormat="1" ht="33" hidden="1" customHeight="1" x14ac:dyDescent="0.25">
      <c r="A33" s="1655"/>
      <c r="B33" s="1655"/>
      <c r="C33" s="1655"/>
      <c r="D33" s="952" t="s">
        <v>829</v>
      </c>
      <c r="E33" s="931" t="s">
        <v>823</v>
      </c>
      <c r="F33" s="822">
        <v>12</v>
      </c>
      <c r="G33" s="822"/>
      <c r="H33" s="953"/>
      <c r="I33" s="822">
        <f t="shared" si="6"/>
        <v>0</v>
      </c>
      <c r="J33" s="822"/>
      <c r="K33" s="822"/>
      <c r="L33" s="953"/>
      <c r="M33" s="822"/>
      <c r="N33" s="822"/>
      <c r="O33" s="822"/>
      <c r="P33" s="953"/>
      <c r="Q33" s="822"/>
      <c r="R33" s="597"/>
      <c r="S33" s="597"/>
      <c r="T33" s="597"/>
      <c r="U33" s="597"/>
      <c r="V33" s="597"/>
      <c r="W33" s="597"/>
      <c r="X33" s="597"/>
      <c r="Y33" s="597"/>
      <c r="Z33" s="597"/>
      <c r="AA33" s="597"/>
      <c r="AB33" s="597"/>
      <c r="AC33" s="597"/>
      <c r="AD33" s="597"/>
      <c r="AE33" s="597"/>
      <c r="AF33" s="597"/>
      <c r="AG33" s="597"/>
      <c r="AH33" s="597"/>
      <c r="AI33" s="597"/>
      <c r="AJ33" s="597"/>
      <c r="AK33" s="597"/>
    </row>
    <row r="34" spans="1:37" s="317" customFormat="1" ht="33.75" hidden="1" customHeight="1" x14ac:dyDescent="0.25">
      <c r="A34" s="1655"/>
      <c r="B34" s="1655"/>
      <c r="C34" s="1655"/>
      <c r="D34" s="952" t="s">
        <v>830</v>
      </c>
      <c r="E34" s="931" t="s">
        <v>823</v>
      </c>
      <c r="F34" s="822">
        <v>12</v>
      </c>
      <c r="G34" s="822"/>
      <c r="H34" s="953"/>
      <c r="I34" s="822">
        <f t="shared" si="6"/>
        <v>0</v>
      </c>
      <c r="J34" s="822"/>
      <c r="K34" s="822"/>
      <c r="L34" s="953"/>
      <c r="M34" s="822"/>
      <c r="N34" s="822"/>
      <c r="O34" s="822"/>
      <c r="P34" s="953"/>
      <c r="Q34" s="822"/>
      <c r="R34" s="597"/>
      <c r="S34" s="597"/>
      <c r="T34" s="597"/>
      <c r="U34" s="597"/>
      <c r="V34" s="597"/>
      <c r="W34" s="597"/>
      <c r="X34" s="597"/>
      <c r="Y34" s="597"/>
      <c r="Z34" s="597"/>
      <c r="AA34" s="597"/>
      <c r="AB34" s="597"/>
      <c r="AC34" s="597"/>
      <c r="AD34" s="597"/>
      <c r="AE34" s="597"/>
      <c r="AF34" s="597"/>
      <c r="AG34" s="597"/>
      <c r="AH34" s="597"/>
      <c r="AI34" s="597"/>
      <c r="AJ34" s="597"/>
      <c r="AK34" s="597"/>
    </row>
    <row r="35" spans="1:37" s="317" customFormat="1" ht="33.75" hidden="1" customHeight="1" x14ac:dyDescent="0.25">
      <c r="A35" s="1655"/>
      <c r="B35" s="1655"/>
      <c r="C35" s="1655"/>
      <c r="D35" s="952" t="s">
        <v>831</v>
      </c>
      <c r="E35" s="931" t="s">
        <v>823</v>
      </c>
      <c r="F35" s="822">
        <v>12</v>
      </c>
      <c r="G35" s="822"/>
      <c r="H35" s="953"/>
      <c r="I35" s="822">
        <f t="shared" si="6"/>
        <v>0</v>
      </c>
      <c r="J35" s="822"/>
      <c r="K35" s="822"/>
      <c r="L35" s="953"/>
      <c r="M35" s="822"/>
      <c r="N35" s="822"/>
      <c r="O35" s="822"/>
      <c r="P35" s="953"/>
      <c r="Q35" s="822"/>
      <c r="R35" s="597"/>
      <c r="S35" s="597"/>
      <c r="T35" s="597"/>
      <c r="U35" s="597"/>
      <c r="V35" s="597"/>
      <c r="W35" s="597"/>
      <c r="X35" s="597"/>
      <c r="Y35" s="597"/>
      <c r="Z35" s="597"/>
      <c r="AA35" s="597"/>
      <c r="AB35" s="597"/>
      <c r="AC35" s="597"/>
      <c r="AD35" s="597"/>
      <c r="AE35" s="597"/>
      <c r="AF35" s="597"/>
      <c r="AG35" s="597"/>
      <c r="AH35" s="597"/>
      <c r="AI35" s="597"/>
      <c r="AJ35" s="597"/>
      <c r="AK35" s="597"/>
    </row>
    <row r="36" spans="1:37" s="317" customFormat="1" ht="33.75" hidden="1" customHeight="1" x14ac:dyDescent="0.25">
      <c r="A36" s="1656"/>
      <c r="B36" s="1656"/>
      <c r="C36" s="1656"/>
      <c r="D36" s="952" t="s">
        <v>832</v>
      </c>
      <c r="E36" s="931" t="s">
        <v>823</v>
      </c>
      <c r="F36" s="822">
        <v>12</v>
      </c>
      <c r="G36" s="822"/>
      <c r="H36" s="953"/>
      <c r="I36" s="822">
        <f t="shared" si="6"/>
        <v>0</v>
      </c>
      <c r="J36" s="822"/>
      <c r="K36" s="822"/>
      <c r="L36" s="953"/>
      <c r="M36" s="822"/>
      <c r="N36" s="822"/>
      <c r="O36" s="822"/>
      <c r="P36" s="953"/>
      <c r="Q36" s="822"/>
      <c r="R36" s="597"/>
      <c r="S36" s="597"/>
      <c r="T36" s="597"/>
      <c r="U36" s="597"/>
      <c r="V36" s="597"/>
      <c r="W36" s="597"/>
      <c r="X36" s="597"/>
      <c r="Y36" s="597"/>
      <c r="Z36" s="597"/>
      <c r="AA36" s="597"/>
      <c r="AB36" s="597"/>
      <c r="AC36" s="597"/>
      <c r="AD36" s="597"/>
      <c r="AE36" s="597"/>
      <c r="AF36" s="597"/>
      <c r="AG36" s="597"/>
      <c r="AH36" s="597"/>
      <c r="AI36" s="597"/>
      <c r="AJ36" s="597"/>
      <c r="AK36" s="597"/>
    </row>
    <row r="37" spans="1:37" s="317" customFormat="1" hidden="1" x14ac:dyDescent="0.25">
      <c r="A37" s="954"/>
      <c r="B37" s="954"/>
      <c r="C37" s="954"/>
      <c r="D37" s="955" t="s">
        <v>72</v>
      </c>
      <c r="E37" s="304"/>
      <c r="F37" s="956"/>
      <c r="G37" s="957"/>
      <c r="H37" s="957"/>
      <c r="I37" s="956">
        <f>SUM(I28:I36)</f>
        <v>0</v>
      </c>
      <c r="J37" s="956"/>
      <c r="K37" s="956"/>
      <c r="L37" s="956"/>
      <c r="M37" s="956">
        <f>SUM(M28:M36)</f>
        <v>0</v>
      </c>
      <c r="N37" s="956"/>
      <c r="O37" s="956"/>
      <c r="P37" s="956"/>
      <c r="Q37" s="956">
        <f>SUM(Q28:Q36)</f>
        <v>0</v>
      </c>
      <c r="R37" s="597"/>
      <c r="S37" s="597"/>
      <c r="T37" s="597"/>
      <c r="U37" s="597"/>
      <c r="V37" s="597"/>
      <c r="W37" s="597"/>
      <c r="X37" s="597"/>
      <c r="Y37" s="597"/>
      <c r="Z37" s="597"/>
      <c r="AA37" s="597"/>
      <c r="AB37" s="597"/>
      <c r="AC37" s="597"/>
      <c r="AD37" s="597"/>
      <c r="AE37" s="597"/>
      <c r="AF37" s="597"/>
      <c r="AG37" s="597"/>
      <c r="AH37" s="597"/>
      <c r="AI37" s="597"/>
      <c r="AJ37" s="597"/>
      <c r="AK37" s="597"/>
    </row>
    <row r="38" spans="1:37" s="317" customFormat="1" hidden="1" x14ac:dyDescent="0.25">
      <c r="A38" s="597"/>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row>
    <row r="39" spans="1:37" s="916" customFormat="1" ht="48.75" customHeight="1" x14ac:dyDescent="0.35">
      <c r="A39" s="1653" t="s">
        <v>819</v>
      </c>
      <c r="B39" s="1653"/>
      <c r="C39" s="1653"/>
      <c r="D39" s="1653"/>
      <c r="E39" s="1653"/>
      <c r="F39" s="1653"/>
      <c r="G39" s="1653"/>
      <c r="H39" s="1653"/>
      <c r="I39" s="1653"/>
      <c r="J39" s="1653"/>
      <c r="K39" s="1653"/>
      <c r="L39" s="1653"/>
      <c r="M39" s="1653"/>
      <c r="N39" s="1653"/>
      <c r="O39" s="1653"/>
      <c r="P39" s="334"/>
      <c r="Q39" s="334"/>
      <c r="R39" s="334"/>
      <c r="S39" s="958"/>
      <c r="T39" s="958"/>
      <c r="U39" s="958"/>
      <c r="V39" s="958"/>
      <c r="W39" s="958"/>
      <c r="X39" s="958"/>
      <c r="Y39" s="958"/>
      <c r="Z39" s="958"/>
      <c r="AA39" s="958"/>
      <c r="AB39" s="958"/>
      <c r="AC39" s="958"/>
      <c r="AD39" s="958"/>
      <c r="AE39" s="958"/>
      <c r="AF39" s="958"/>
      <c r="AG39" s="958"/>
      <c r="AH39" s="958"/>
      <c r="AI39" s="958"/>
      <c r="AJ39" s="958"/>
      <c r="AK39" s="958"/>
    </row>
    <row r="40" spans="1:37" s="917" customFormat="1" ht="18" x14ac:dyDescent="0.35">
      <c r="A40" s="958"/>
      <c r="B40" s="959"/>
      <c r="C40" s="959"/>
      <c r="D40" s="959"/>
      <c r="E40" s="959"/>
      <c r="F40" s="959"/>
      <c r="G40" s="959"/>
      <c r="H40" s="959"/>
      <c r="I40" s="959"/>
      <c r="J40" s="959"/>
      <c r="K40" s="959"/>
      <c r="L40" s="959"/>
      <c r="M40" s="959"/>
      <c r="N40" s="959"/>
      <c r="O40" s="959"/>
      <c r="P40" s="959"/>
      <c r="Q40" s="959"/>
      <c r="R40" s="959"/>
      <c r="S40" s="958"/>
      <c r="T40" s="958"/>
      <c r="U40" s="958"/>
      <c r="V40" s="958"/>
      <c r="W40" s="958"/>
      <c r="X40" s="958"/>
      <c r="Y40" s="958"/>
      <c r="Z40" s="958"/>
      <c r="AA40" s="958"/>
      <c r="AB40" s="958"/>
      <c r="AC40" s="958"/>
      <c r="AD40" s="958"/>
      <c r="AE40" s="958"/>
      <c r="AF40" s="958"/>
      <c r="AG40" s="958"/>
      <c r="AH40" s="958"/>
      <c r="AI40" s="958"/>
      <c r="AJ40" s="958"/>
      <c r="AK40" s="958"/>
    </row>
    <row r="41" spans="1:37" s="917" customFormat="1" ht="18" x14ac:dyDescent="0.35">
      <c r="A41" s="958"/>
      <c r="B41" s="958"/>
      <c r="C41" s="958"/>
      <c r="D41" s="958"/>
      <c r="E41" s="958"/>
      <c r="F41" s="958"/>
      <c r="G41" s="958"/>
      <c r="H41" s="958"/>
      <c r="I41" s="958"/>
      <c r="J41" s="958"/>
      <c r="K41" s="958"/>
      <c r="L41" s="958"/>
      <c r="M41" s="958"/>
      <c r="N41" s="958"/>
      <c r="O41" s="958"/>
      <c r="P41" s="958"/>
      <c r="Q41" s="958"/>
      <c r="R41" s="958"/>
      <c r="S41" s="958"/>
      <c r="T41" s="958"/>
      <c r="U41" s="958"/>
      <c r="V41" s="958"/>
      <c r="W41" s="958"/>
      <c r="X41" s="958"/>
      <c r="Y41" s="958"/>
      <c r="Z41" s="958"/>
      <c r="AA41" s="958"/>
      <c r="AB41" s="958"/>
      <c r="AC41" s="958"/>
      <c r="AD41" s="958"/>
      <c r="AE41" s="958"/>
      <c r="AF41" s="958"/>
      <c r="AG41" s="958"/>
      <c r="AH41" s="958"/>
      <c r="AI41" s="958"/>
      <c r="AJ41" s="958"/>
      <c r="AK41" s="958"/>
    </row>
    <row r="42" spans="1:37" s="917" customFormat="1" ht="57.75" customHeight="1" x14ac:dyDescent="0.35">
      <c r="A42" s="1660" t="s">
        <v>179</v>
      </c>
      <c r="B42" s="1661"/>
      <c r="C42" s="1691" t="s">
        <v>180</v>
      </c>
      <c r="D42" s="1657" t="s">
        <v>355</v>
      </c>
      <c r="E42" s="1658" t="s">
        <v>820</v>
      </c>
      <c r="F42" s="1658" t="s">
        <v>821</v>
      </c>
      <c r="G42" s="1657" t="s">
        <v>848</v>
      </c>
      <c r="H42" s="1657" t="s">
        <v>355</v>
      </c>
      <c r="I42" s="1658" t="s">
        <v>820</v>
      </c>
      <c r="J42" s="1657" t="s">
        <v>821</v>
      </c>
      <c r="K42" s="1657" t="s">
        <v>848</v>
      </c>
      <c r="L42" s="1657" t="s">
        <v>355</v>
      </c>
      <c r="M42" s="1658" t="s">
        <v>820</v>
      </c>
      <c r="N42" s="1657" t="s">
        <v>821</v>
      </c>
      <c r="O42" s="1657" t="s">
        <v>848</v>
      </c>
      <c r="P42" s="958"/>
      <c r="Q42" s="958"/>
      <c r="R42" s="958"/>
      <c r="S42" s="958"/>
      <c r="T42" s="958"/>
      <c r="U42" s="958"/>
      <c r="V42" s="958"/>
      <c r="W42" s="958"/>
      <c r="X42" s="958"/>
      <c r="Y42" s="958"/>
      <c r="Z42" s="958"/>
      <c r="AA42" s="958"/>
      <c r="AB42" s="958"/>
      <c r="AC42" s="958"/>
      <c r="AD42" s="958"/>
      <c r="AE42" s="958"/>
      <c r="AF42" s="958"/>
      <c r="AG42" s="958"/>
      <c r="AH42" s="958"/>
      <c r="AI42" s="958"/>
      <c r="AJ42" s="958"/>
      <c r="AK42" s="958"/>
    </row>
    <row r="43" spans="1:37" s="917" customFormat="1" ht="57.75" customHeight="1" x14ac:dyDescent="0.35">
      <c r="A43" s="1662"/>
      <c r="B43" s="1663"/>
      <c r="C43" s="1691"/>
      <c r="D43" s="1657"/>
      <c r="E43" s="1659"/>
      <c r="F43" s="1659"/>
      <c r="G43" s="1657"/>
      <c r="H43" s="1657"/>
      <c r="I43" s="1659"/>
      <c r="J43" s="1657"/>
      <c r="K43" s="1657"/>
      <c r="L43" s="1657"/>
      <c r="M43" s="1659"/>
      <c r="N43" s="1657"/>
      <c r="O43" s="1657"/>
      <c r="P43" s="958"/>
      <c r="Q43" s="958"/>
      <c r="R43" s="958"/>
      <c r="S43" s="958"/>
      <c r="T43" s="958"/>
      <c r="U43" s="958"/>
      <c r="V43" s="958"/>
      <c r="W43" s="958"/>
      <c r="X43" s="958"/>
      <c r="Y43" s="958"/>
      <c r="Z43" s="958"/>
      <c r="AA43" s="958"/>
      <c r="AB43" s="958"/>
      <c r="AC43" s="958"/>
      <c r="AD43" s="958"/>
      <c r="AE43" s="958"/>
      <c r="AF43" s="958"/>
      <c r="AG43" s="958"/>
      <c r="AH43" s="958"/>
      <c r="AI43" s="958"/>
      <c r="AJ43" s="958"/>
      <c r="AK43" s="958"/>
    </row>
    <row r="44" spans="1:37" s="917" customFormat="1" ht="18" x14ac:dyDescent="0.35">
      <c r="A44" s="1439"/>
      <c r="B44" s="1440"/>
      <c r="C44" s="1691"/>
      <c r="D44" s="1691" t="s">
        <v>692</v>
      </c>
      <c r="E44" s="1691"/>
      <c r="F44" s="1691"/>
      <c r="G44" s="1691"/>
      <c r="H44" s="1691" t="s">
        <v>842</v>
      </c>
      <c r="I44" s="1691"/>
      <c r="J44" s="1691"/>
      <c r="K44" s="1691"/>
      <c r="L44" s="1691" t="s">
        <v>885</v>
      </c>
      <c r="M44" s="1691"/>
      <c r="N44" s="1691"/>
      <c r="O44" s="1691"/>
      <c r="P44" s="958"/>
      <c r="Q44" s="958"/>
      <c r="R44" s="958"/>
      <c r="S44" s="958"/>
      <c r="T44" s="958"/>
      <c r="U44" s="958"/>
      <c r="V44" s="958"/>
      <c r="W44" s="958"/>
      <c r="X44" s="958"/>
      <c r="Y44" s="958"/>
      <c r="Z44" s="958"/>
      <c r="AA44" s="958"/>
      <c r="AB44" s="958"/>
      <c r="AC44" s="958"/>
      <c r="AD44" s="958"/>
      <c r="AE44" s="958"/>
      <c r="AF44" s="958"/>
      <c r="AG44" s="958"/>
      <c r="AH44" s="958"/>
      <c r="AI44" s="958"/>
      <c r="AJ44" s="958"/>
      <c r="AK44" s="958"/>
    </row>
    <row r="45" spans="1:37" s="917" customFormat="1" ht="18" x14ac:dyDescent="0.35">
      <c r="A45" s="1679">
        <v>2</v>
      </c>
      <c r="B45" s="1680"/>
      <c r="C45" s="960">
        <v>3</v>
      </c>
      <c r="D45" s="960">
        <v>4</v>
      </c>
      <c r="E45" s="960">
        <v>5</v>
      </c>
      <c r="F45" s="960">
        <v>6</v>
      </c>
      <c r="G45" s="960">
        <v>7</v>
      </c>
      <c r="H45" s="960">
        <v>8</v>
      </c>
      <c r="I45" s="960">
        <v>9</v>
      </c>
      <c r="J45" s="960">
        <v>10</v>
      </c>
      <c r="K45" s="960">
        <v>11</v>
      </c>
      <c r="L45" s="960">
        <v>12</v>
      </c>
      <c r="M45" s="960">
        <v>13</v>
      </c>
      <c r="N45" s="960">
        <v>14</v>
      </c>
      <c r="O45" s="960">
        <v>15</v>
      </c>
      <c r="P45" s="958"/>
      <c r="Q45" s="958"/>
      <c r="R45" s="958"/>
      <c r="S45" s="958"/>
      <c r="T45" s="958"/>
      <c r="U45" s="958"/>
      <c r="V45" s="958"/>
      <c r="W45" s="958"/>
      <c r="X45" s="958"/>
      <c r="Y45" s="958"/>
      <c r="Z45" s="958"/>
      <c r="AA45" s="958"/>
      <c r="AB45" s="958"/>
      <c r="AC45" s="958"/>
      <c r="AD45" s="958"/>
      <c r="AE45" s="958"/>
      <c r="AF45" s="958"/>
      <c r="AG45" s="958"/>
      <c r="AH45" s="958"/>
      <c r="AI45" s="958"/>
      <c r="AJ45" s="958"/>
      <c r="AK45" s="958"/>
    </row>
    <row r="46" spans="1:37" s="917" customFormat="1" ht="57.75" customHeight="1" x14ac:dyDescent="0.35">
      <c r="A46" s="1683" t="s">
        <v>910</v>
      </c>
      <c r="B46" s="1684"/>
      <c r="C46" s="932" t="s">
        <v>823</v>
      </c>
      <c r="D46" s="918">
        <v>144</v>
      </c>
      <c r="E46" s="918">
        <v>1743.3</v>
      </c>
      <c r="F46" s="918">
        <v>7</v>
      </c>
      <c r="G46" s="918">
        <f>F46*E46*D46</f>
        <v>1757246.4</v>
      </c>
      <c r="H46" s="918">
        <v>144</v>
      </c>
      <c r="I46" s="918">
        <v>1830.9</v>
      </c>
      <c r="J46" s="918">
        <v>7</v>
      </c>
      <c r="K46" s="918">
        <f>J46*I46*H46</f>
        <v>1845547.2</v>
      </c>
      <c r="L46" s="918">
        <v>144</v>
      </c>
      <c r="M46" s="918">
        <v>1918.6</v>
      </c>
      <c r="N46" s="918">
        <v>7</v>
      </c>
      <c r="O46" s="918">
        <f>N46*M46*L46</f>
        <v>1933948.8</v>
      </c>
      <c r="P46" s="958"/>
      <c r="Q46" s="958"/>
      <c r="R46" s="958"/>
      <c r="S46" s="958"/>
      <c r="T46" s="958"/>
      <c r="U46" s="958"/>
      <c r="V46" s="958"/>
      <c r="W46" s="958"/>
      <c r="X46" s="958"/>
      <c r="Y46" s="958"/>
      <c r="Z46" s="958"/>
      <c r="AA46" s="958"/>
      <c r="AB46" s="958"/>
      <c r="AC46" s="958"/>
      <c r="AD46" s="958"/>
      <c r="AE46" s="958"/>
      <c r="AF46" s="958"/>
      <c r="AG46" s="958"/>
      <c r="AH46" s="958"/>
      <c r="AI46" s="958"/>
      <c r="AJ46" s="958"/>
      <c r="AK46" s="958"/>
    </row>
    <row r="47" spans="1:37" s="917" customFormat="1" ht="33" hidden="1" customHeight="1" x14ac:dyDescent="0.35">
      <c r="A47" s="961"/>
      <c r="B47" s="961"/>
      <c r="C47" s="932"/>
      <c r="D47" s="918"/>
      <c r="E47" s="918"/>
      <c r="F47" s="962"/>
      <c r="G47" s="918"/>
      <c r="H47" s="918"/>
      <c r="I47" s="918"/>
      <c r="J47" s="962"/>
      <c r="K47" s="918"/>
      <c r="L47" s="918"/>
      <c r="M47" s="918"/>
      <c r="N47" s="962"/>
      <c r="O47" s="918"/>
      <c r="P47" s="958"/>
      <c r="Q47" s="958"/>
      <c r="R47" s="958"/>
      <c r="S47" s="958"/>
      <c r="T47" s="958"/>
      <c r="U47" s="958"/>
      <c r="V47" s="958"/>
      <c r="W47" s="958"/>
      <c r="X47" s="958"/>
      <c r="Y47" s="958"/>
      <c r="Z47" s="958"/>
      <c r="AA47" s="958"/>
      <c r="AB47" s="958"/>
      <c r="AC47" s="958"/>
      <c r="AD47" s="958"/>
      <c r="AE47" s="958"/>
      <c r="AF47" s="958"/>
      <c r="AG47" s="958"/>
      <c r="AH47" s="958"/>
      <c r="AI47" s="958"/>
      <c r="AJ47" s="958"/>
      <c r="AK47" s="958"/>
    </row>
    <row r="48" spans="1:37" s="917" customFormat="1" ht="33" customHeight="1" x14ac:dyDescent="0.35">
      <c r="A48" s="1644" t="s">
        <v>72</v>
      </c>
      <c r="B48" s="1645"/>
      <c r="C48" s="1645"/>
      <c r="D48" s="1645"/>
      <c r="E48" s="1645"/>
      <c r="F48" s="1646"/>
      <c r="G48" s="963">
        <f>ROUNDDOWN(SUM(G46:G47),-2)</f>
        <v>1757200</v>
      </c>
      <c r="H48" s="1647"/>
      <c r="I48" s="1648"/>
      <c r="J48" s="1649"/>
      <c r="K48" s="963">
        <f>ROUNDDOWN(SUM(K46:K47),-2)</f>
        <v>1845500</v>
      </c>
      <c r="L48" s="1647"/>
      <c r="M48" s="1648"/>
      <c r="N48" s="1649"/>
      <c r="O48" s="963">
        <f>ROUNDDOWN(SUM(O46:O47),-2)</f>
        <v>1933900</v>
      </c>
      <c r="P48" s="958"/>
      <c r="Q48" s="958"/>
      <c r="R48" s="958"/>
      <c r="S48" s="958"/>
      <c r="T48" s="958"/>
      <c r="U48" s="958"/>
      <c r="V48" s="958"/>
      <c r="W48" s="958"/>
      <c r="X48" s="958"/>
      <c r="Y48" s="958"/>
      <c r="Z48" s="958"/>
      <c r="AA48" s="958"/>
      <c r="AB48" s="958"/>
      <c r="AC48" s="958"/>
      <c r="AD48" s="958"/>
      <c r="AE48" s="958"/>
      <c r="AF48" s="958"/>
      <c r="AG48" s="958"/>
      <c r="AH48" s="958"/>
      <c r="AI48" s="958"/>
      <c r="AJ48" s="958"/>
      <c r="AK48" s="958"/>
    </row>
    <row r="49" spans="1:37" s="317" customFormat="1" x14ac:dyDescent="0.25">
      <c r="A49" s="597"/>
      <c r="B49" s="597"/>
      <c r="C49" s="597"/>
      <c r="D49" s="597"/>
      <c r="E49" s="597"/>
      <c r="F49" s="597"/>
      <c r="G49" s="597"/>
      <c r="H49" s="964"/>
      <c r="I49" s="965"/>
      <c r="J49" s="966"/>
      <c r="K49" s="967"/>
      <c r="L49" s="968"/>
      <c r="M49" s="968"/>
      <c r="N49" s="968"/>
      <c r="O49" s="968"/>
      <c r="P49" s="968"/>
      <c r="Q49" s="968"/>
      <c r="R49" s="968"/>
      <c r="S49" s="597"/>
      <c r="T49" s="597"/>
      <c r="U49" s="597"/>
      <c r="V49" s="597"/>
      <c r="W49" s="597"/>
      <c r="X49" s="597"/>
      <c r="Y49" s="597"/>
      <c r="Z49" s="597"/>
      <c r="AA49" s="597"/>
      <c r="AB49" s="597"/>
      <c r="AC49" s="597"/>
      <c r="AD49" s="597"/>
      <c r="AE49" s="597"/>
      <c r="AF49" s="597"/>
      <c r="AG49" s="597"/>
      <c r="AH49" s="597"/>
      <c r="AI49" s="597"/>
      <c r="AJ49" s="597"/>
      <c r="AK49" s="597"/>
    </row>
    <row r="50" spans="1:37" s="317" customFormat="1" ht="15" customHeight="1" x14ac:dyDescent="0.25">
      <c r="A50" s="597"/>
      <c r="B50" s="597"/>
      <c r="C50" s="597"/>
      <c r="D50" s="597"/>
      <c r="E50" s="597"/>
      <c r="F50" s="597"/>
      <c r="G50" s="597"/>
      <c r="H50" s="597"/>
      <c r="I50" s="597"/>
      <c r="J50" s="597"/>
      <c r="K50" s="597"/>
      <c r="L50" s="597"/>
      <c r="M50" s="597"/>
      <c r="N50" s="597"/>
      <c r="O50" s="597"/>
      <c r="P50" s="597"/>
      <c r="Q50" s="597"/>
      <c r="R50" s="597"/>
      <c r="S50" s="597"/>
      <c r="T50" s="597"/>
      <c r="U50" s="597"/>
      <c r="V50" s="597"/>
      <c r="W50" s="597"/>
      <c r="X50" s="597"/>
      <c r="Y50" s="597"/>
      <c r="Z50" s="597"/>
      <c r="AA50" s="597"/>
      <c r="AB50" s="597"/>
      <c r="AC50" s="597"/>
      <c r="AD50" s="597"/>
      <c r="AE50" s="597"/>
      <c r="AF50" s="597"/>
      <c r="AG50" s="597"/>
      <c r="AH50" s="597"/>
      <c r="AI50" s="597"/>
      <c r="AJ50" s="597"/>
      <c r="AK50" s="597"/>
    </row>
    <row r="51" spans="1:37" s="317" customFormat="1" ht="42" hidden="1" customHeight="1" x14ac:dyDescent="0.25">
      <c r="A51" s="1686" t="s">
        <v>734</v>
      </c>
      <c r="B51" s="1686"/>
      <c r="C51" s="1686"/>
      <c r="D51" s="1686"/>
      <c r="E51" s="1686"/>
      <c r="F51" s="1686"/>
      <c r="G51" s="1686"/>
      <c r="H51" s="799"/>
      <c r="I51" s="905"/>
      <c r="J51" s="905"/>
      <c r="K51" s="99"/>
      <c r="L51" s="969"/>
      <c r="M51" s="969"/>
      <c r="N51" s="969"/>
      <c r="O51" s="969"/>
      <c r="P51" s="969"/>
      <c r="Q51" s="597"/>
      <c r="R51" s="597"/>
      <c r="S51" s="597"/>
      <c r="T51" s="597"/>
      <c r="U51" s="597"/>
      <c r="V51" s="597"/>
      <c r="W51" s="597"/>
      <c r="X51" s="597"/>
      <c r="Y51" s="597"/>
      <c r="Z51" s="597"/>
      <c r="AA51" s="597"/>
      <c r="AB51" s="597"/>
      <c r="AC51" s="597"/>
      <c r="AD51" s="597"/>
      <c r="AE51" s="597"/>
      <c r="AF51" s="597"/>
      <c r="AG51" s="597"/>
      <c r="AH51" s="597"/>
      <c r="AI51" s="597"/>
      <c r="AJ51" s="597"/>
      <c r="AK51" s="597"/>
    </row>
    <row r="52" spans="1:37" s="317" customFormat="1" ht="22.5" hidden="1" customHeight="1" x14ac:dyDescent="0.25">
      <c r="A52" s="597"/>
      <c r="B52" s="597"/>
      <c r="C52" s="597"/>
      <c r="D52" s="969"/>
      <c r="E52" s="969"/>
      <c r="F52" s="969"/>
      <c r="G52" s="969"/>
      <c r="H52" s="969"/>
      <c r="I52" s="969"/>
      <c r="J52" s="969"/>
      <c r="K52" s="969"/>
      <c r="L52" s="969"/>
      <c r="M52" s="969"/>
      <c r="N52" s="969"/>
      <c r="O52" s="969"/>
      <c r="P52" s="969"/>
      <c r="Q52" s="597"/>
      <c r="R52" s="597"/>
      <c r="S52" s="597"/>
      <c r="T52" s="597"/>
      <c r="U52" s="597"/>
      <c r="V52" s="597"/>
      <c r="W52" s="597"/>
      <c r="X52" s="597"/>
      <c r="Y52" s="597"/>
      <c r="Z52" s="597"/>
      <c r="AA52" s="597"/>
      <c r="AB52" s="597"/>
      <c r="AC52" s="597"/>
      <c r="AD52" s="597"/>
      <c r="AE52" s="597"/>
      <c r="AF52" s="597"/>
      <c r="AG52" s="597"/>
      <c r="AH52" s="597"/>
      <c r="AI52" s="597"/>
      <c r="AJ52" s="597"/>
      <c r="AK52" s="597"/>
    </row>
    <row r="53" spans="1:37" s="317" customFormat="1" ht="15" hidden="1" customHeight="1" x14ac:dyDescent="0.25">
      <c r="A53" s="1677" t="s">
        <v>688</v>
      </c>
      <c r="B53" s="1677" t="s">
        <v>446</v>
      </c>
      <c r="C53" s="1677" t="s">
        <v>332</v>
      </c>
      <c r="D53" s="1631" t="s">
        <v>183</v>
      </c>
      <c r="E53" s="1673" t="s">
        <v>185</v>
      </c>
      <c r="F53" s="1674"/>
      <c r="G53" s="1675"/>
      <c r="H53" s="597"/>
      <c r="I53" s="597"/>
      <c r="J53" s="597"/>
      <c r="K53" s="597"/>
      <c r="L53" s="597"/>
      <c r="M53" s="597"/>
      <c r="N53" s="597"/>
      <c r="O53" s="597"/>
      <c r="P53" s="597"/>
      <c r="Q53" s="597"/>
      <c r="R53" s="597"/>
      <c r="S53" s="597"/>
      <c r="T53" s="597"/>
      <c r="U53" s="597"/>
      <c r="V53" s="597"/>
      <c r="W53" s="597"/>
      <c r="X53" s="597"/>
      <c r="Y53" s="597"/>
      <c r="Z53" s="597"/>
      <c r="AA53" s="597"/>
      <c r="AB53" s="597"/>
      <c r="AC53" s="597"/>
      <c r="AD53" s="597"/>
      <c r="AE53" s="597"/>
      <c r="AF53" s="597"/>
      <c r="AG53" s="597"/>
      <c r="AH53" s="597"/>
      <c r="AI53" s="597"/>
      <c r="AJ53" s="597"/>
      <c r="AK53" s="597"/>
    </row>
    <row r="54" spans="1:37" s="317" customFormat="1" hidden="1" x14ac:dyDescent="0.25">
      <c r="A54" s="1678"/>
      <c r="B54" s="1678"/>
      <c r="C54" s="1678"/>
      <c r="D54" s="1631"/>
      <c r="E54" s="931" t="s">
        <v>436</v>
      </c>
      <c r="F54" s="931" t="s">
        <v>692</v>
      </c>
      <c r="G54" s="931" t="s">
        <v>842</v>
      </c>
      <c r="H54" s="597"/>
      <c r="I54" s="597"/>
      <c r="J54" s="597"/>
      <c r="K54" s="597"/>
      <c r="L54" s="597"/>
      <c r="M54" s="597"/>
      <c r="N54" s="597"/>
      <c r="O54" s="597"/>
      <c r="P54" s="597"/>
      <c r="Q54" s="597"/>
      <c r="R54" s="597"/>
      <c r="S54" s="597"/>
      <c r="T54" s="597"/>
      <c r="U54" s="597"/>
      <c r="V54" s="597"/>
      <c r="W54" s="597"/>
      <c r="X54" s="597"/>
      <c r="Y54" s="597"/>
      <c r="Z54" s="597"/>
      <c r="AA54" s="597"/>
      <c r="AB54" s="597"/>
      <c r="AC54" s="597"/>
      <c r="AD54" s="597"/>
      <c r="AE54" s="597"/>
      <c r="AF54" s="597"/>
      <c r="AG54" s="597"/>
      <c r="AH54" s="597"/>
      <c r="AI54" s="597"/>
      <c r="AJ54" s="597"/>
      <c r="AK54" s="597"/>
    </row>
    <row r="55" spans="1:37" s="317" customFormat="1" hidden="1" x14ac:dyDescent="0.25">
      <c r="A55" s="970">
        <v>1</v>
      </c>
      <c r="B55" s="970">
        <v>2</v>
      </c>
      <c r="C55" s="970">
        <v>3</v>
      </c>
      <c r="D55" s="931">
        <v>4</v>
      </c>
      <c r="E55" s="931">
        <v>6</v>
      </c>
      <c r="F55" s="931">
        <v>7</v>
      </c>
      <c r="G55" s="931">
        <v>8</v>
      </c>
      <c r="H55" s="597"/>
      <c r="I55" s="597"/>
      <c r="J55" s="597"/>
      <c r="K55" s="597"/>
      <c r="L55" s="597"/>
      <c r="M55" s="597"/>
      <c r="N55" s="597"/>
      <c r="O55" s="597"/>
      <c r="P55" s="597"/>
      <c r="Q55" s="597"/>
      <c r="R55" s="597"/>
      <c r="S55" s="597"/>
      <c r="T55" s="597"/>
      <c r="U55" s="597"/>
      <c r="V55" s="597"/>
      <c r="W55" s="597"/>
      <c r="X55" s="597"/>
      <c r="Y55" s="597"/>
      <c r="Z55" s="597"/>
      <c r="AA55" s="597"/>
      <c r="AB55" s="597"/>
      <c r="AC55" s="597"/>
      <c r="AD55" s="597"/>
      <c r="AE55" s="597"/>
      <c r="AF55" s="597"/>
      <c r="AG55" s="597"/>
      <c r="AH55" s="597"/>
      <c r="AI55" s="597"/>
      <c r="AJ55" s="597"/>
      <c r="AK55" s="597"/>
    </row>
    <row r="56" spans="1:37" s="317" customFormat="1" hidden="1" x14ac:dyDescent="0.25">
      <c r="A56" s="1654">
        <v>1300</v>
      </c>
      <c r="B56" s="1654">
        <v>140</v>
      </c>
      <c r="C56" s="1654">
        <v>141</v>
      </c>
      <c r="D56" s="302" t="s">
        <v>263</v>
      </c>
      <c r="E56" s="931"/>
      <c r="F56" s="931"/>
      <c r="G56" s="931"/>
      <c r="H56" s="597"/>
      <c r="I56" s="597"/>
      <c r="J56" s="597"/>
      <c r="K56" s="597"/>
      <c r="L56" s="597"/>
      <c r="M56" s="597"/>
      <c r="N56" s="597"/>
      <c r="O56" s="597"/>
      <c r="P56" s="597"/>
      <c r="Q56" s="597"/>
      <c r="R56" s="597"/>
      <c r="S56" s="597"/>
      <c r="T56" s="597"/>
      <c r="U56" s="597"/>
      <c r="V56" s="597"/>
      <c r="W56" s="597"/>
      <c r="X56" s="597"/>
      <c r="Y56" s="597"/>
      <c r="Z56" s="597"/>
      <c r="AA56" s="597"/>
      <c r="AB56" s="597"/>
      <c r="AC56" s="597"/>
      <c r="AD56" s="597"/>
      <c r="AE56" s="597"/>
      <c r="AF56" s="597"/>
      <c r="AG56" s="597"/>
      <c r="AH56" s="597"/>
      <c r="AI56" s="597"/>
      <c r="AJ56" s="597"/>
      <c r="AK56" s="597"/>
    </row>
    <row r="57" spans="1:37" s="317" customFormat="1" hidden="1" x14ac:dyDescent="0.25">
      <c r="A57" s="1655"/>
      <c r="B57" s="1655"/>
      <c r="C57" s="1655"/>
      <c r="D57" s="302" t="s">
        <v>264</v>
      </c>
      <c r="E57" s="931"/>
      <c r="F57" s="931"/>
      <c r="G57" s="931"/>
      <c r="H57" s="597"/>
      <c r="I57" s="597"/>
      <c r="J57" s="597"/>
      <c r="K57" s="597"/>
      <c r="L57" s="597"/>
      <c r="M57" s="597"/>
      <c r="N57" s="597"/>
      <c r="O57" s="597"/>
      <c r="P57" s="597"/>
      <c r="Q57" s="597"/>
      <c r="R57" s="597"/>
      <c r="S57" s="597"/>
      <c r="T57" s="597"/>
      <c r="U57" s="597"/>
      <c r="V57" s="597"/>
      <c r="W57" s="597"/>
      <c r="X57" s="597"/>
      <c r="Y57" s="597"/>
      <c r="Z57" s="597"/>
      <c r="AA57" s="597"/>
      <c r="AB57" s="597"/>
      <c r="AC57" s="597"/>
      <c r="AD57" s="597"/>
      <c r="AE57" s="597"/>
      <c r="AF57" s="597"/>
      <c r="AG57" s="597"/>
      <c r="AH57" s="597"/>
      <c r="AI57" s="597"/>
      <c r="AJ57" s="597"/>
      <c r="AK57" s="597"/>
    </row>
    <row r="58" spans="1:37" s="317" customFormat="1" ht="41.4" hidden="1" x14ac:dyDescent="0.25">
      <c r="A58" s="1656"/>
      <c r="B58" s="1656"/>
      <c r="C58" s="1656"/>
      <c r="D58" s="302" t="s">
        <v>265</v>
      </c>
      <c r="E58" s="931"/>
      <c r="F58" s="931"/>
      <c r="G58" s="931"/>
      <c r="H58" s="597"/>
      <c r="I58" s="597"/>
      <c r="J58" s="597"/>
      <c r="K58" s="597"/>
      <c r="L58" s="597"/>
      <c r="M58" s="597"/>
      <c r="N58" s="597"/>
      <c r="O58" s="597"/>
      <c r="P58" s="597"/>
      <c r="Q58" s="597"/>
      <c r="R58" s="597"/>
      <c r="S58" s="597"/>
      <c r="T58" s="597"/>
      <c r="U58" s="597"/>
      <c r="V58" s="597"/>
      <c r="W58" s="597"/>
      <c r="X58" s="597"/>
      <c r="Y58" s="597"/>
      <c r="Z58" s="597"/>
      <c r="AA58" s="597"/>
      <c r="AB58" s="597"/>
      <c r="AC58" s="597"/>
      <c r="AD58" s="597"/>
      <c r="AE58" s="597"/>
      <c r="AF58" s="597"/>
      <c r="AG58" s="597"/>
      <c r="AH58" s="597"/>
      <c r="AI58" s="597"/>
      <c r="AJ58" s="597"/>
      <c r="AK58" s="597"/>
    </row>
    <row r="59" spans="1:37" s="317" customFormat="1" hidden="1" x14ac:dyDescent="0.25">
      <c r="A59" s="954"/>
      <c r="B59" s="954"/>
      <c r="C59" s="954"/>
      <c r="D59" s="971" t="s">
        <v>97</v>
      </c>
      <c r="E59" s="972">
        <f>E58+E57+E56</f>
        <v>0</v>
      </c>
      <c r="F59" s="972">
        <f t="shared" ref="F59:G59" si="7">F58</f>
        <v>0</v>
      </c>
      <c r="G59" s="972">
        <f t="shared" si="7"/>
        <v>0</v>
      </c>
      <c r="H59" s="328"/>
      <c r="I59" s="597"/>
      <c r="J59" s="597"/>
      <c r="K59" s="597"/>
      <c r="L59" s="597"/>
      <c r="M59" s="597"/>
      <c r="N59" s="597"/>
      <c r="O59" s="597"/>
      <c r="P59" s="597"/>
      <c r="Q59" s="597"/>
      <c r="R59" s="597"/>
      <c r="S59" s="597"/>
      <c r="T59" s="597"/>
      <c r="U59" s="597"/>
      <c r="V59" s="597"/>
      <c r="W59" s="597"/>
      <c r="X59" s="597"/>
      <c r="Y59" s="597"/>
      <c r="Z59" s="597"/>
      <c r="AA59" s="597"/>
      <c r="AB59" s="597"/>
      <c r="AC59" s="597"/>
      <c r="AD59" s="597"/>
      <c r="AE59" s="597"/>
      <c r="AF59" s="597"/>
      <c r="AG59" s="597"/>
      <c r="AH59" s="597"/>
      <c r="AI59" s="597"/>
      <c r="AJ59" s="597"/>
      <c r="AK59" s="597"/>
    </row>
    <row r="60" spans="1:37" s="317" customFormat="1" hidden="1" x14ac:dyDescent="0.25">
      <c r="A60" s="597"/>
      <c r="B60" s="597"/>
      <c r="C60" s="597"/>
      <c r="D60" s="939"/>
      <c r="E60" s="939"/>
      <c r="F60" s="939"/>
      <c r="G60" s="973"/>
      <c r="H60" s="974"/>
      <c r="I60" s="328"/>
      <c r="J60" s="328"/>
      <c r="K60" s="328"/>
      <c r="L60" s="597"/>
      <c r="M60" s="597"/>
      <c r="N60" s="597"/>
      <c r="O60" s="597"/>
      <c r="P60" s="597"/>
      <c r="Q60" s="597"/>
      <c r="R60" s="597"/>
      <c r="S60" s="597"/>
      <c r="T60" s="597"/>
      <c r="U60" s="597"/>
      <c r="V60" s="597"/>
      <c r="W60" s="597"/>
      <c r="X60" s="597"/>
      <c r="Y60" s="597"/>
      <c r="Z60" s="597"/>
      <c r="AA60" s="597"/>
      <c r="AB60" s="597"/>
      <c r="AC60" s="597"/>
      <c r="AD60" s="597"/>
      <c r="AE60" s="597"/>
      <c r="AF60" s="597"/>
      <c r="AG60" s="597"/>
      <c r="AH60" s="597"/>
      <c r="AI60" s="597"/>
      <c r="AJ60" s="597"/>
      <c r="AK60" s="597"/>
    </row>
    <row r="61" spans="1:37" s="597" customFormat="1" ht="39.75" hidden="1" customHeight="1" x14ac:dyDescent="0.25">
      <c r="A61" s="1682" t="s">
        <v>767</v>
      </c>
      <c r="B61" s="1682"/>
      <c r="C61" s="1682"/>
      <c r="D61" s="1682"/>
      <c r="E61" s="1682"/>
      <c r="F61" s="1682"/>
      <c r="G61" s="1682"/>
      <c r="H61" s="800"/>
      <c r="I61" s="800"/>
      <c r="J61" s="800"/>
      <c r="K61" s="975"/>
      <c r="L61" s="99"/>
      <c r="M61" s="99"/>
      <c r="N61" s="99"/>
      <c r="O61" s="976"/>
      <c r="P61" s="976"/>
      <c r="Q61" s="976"/>
    </row>
    <row r="62" spans="1:37" s="317" customFormat="1" hidden="1" x14ac:dyDescent="0.25">
      <c r="A62" s="597"/>
      <c r="B62" s="597"/>
      <c r="C62" s="597"/>
      <c r="D62" s="597"/>
      <c r="E62" s="597"/>
      <c r="F62" s="597"/>
      <c r="G62" s="597"/>
      <c r="H62" s="597"/>
      <c r="I62" s="597"/>
      <c r="J62" s="597"/>
      <c r="K62" s="597"/>
      <c r="L62" s="597"/>
      <c r="M62" s="597"/>
      <c r="N62" s="597"/>
      <c r="O62" s="597"/>
      <c r="P62" s="597"/>
      <c r="Q62" s="597"/>
      <c r="R62" s="597"/>
      <c r="S62" s="597"/>
      <c r="T62" s="597"/>
      <c r="U62" s="597"/>
      <c r="V62" s="597"/>
      <c r="W62" s="597"/>
      <c r="X62" s="597"/>
      <c r="Y62" s="597"/>
      <c r="Z62" s="597"/>
      <c r="AA62" s="597"/>
      <c r="AB62" s="597"/>
      <c r="AC62" s="597"/>
      <c r="AD62" s="597"/>
      <c r="AE62" s="597"/>
      <c r="AF62" s="597"/>
      <c r="AG62" s="597"/>
      <c r="AH62" s="597"/>
      <c r="AI62" s="597"/>
      <c r="AJ62" s="597"/>
      <c r="AK62" s="597"/>
    </row>
    <row r="63" spans="1:37" s="317" customFormat="1" ht="15" hidden="1" customHeight="1" x14ac:dyDescent="0.25">
      <c r="A63" s="1677" t="s">
        <v>688</v>
      </c>
      <c r="B63" s="1677" t="s">
        <v>446</v>
      </c>
      <c r="C63" s="1677" t="s">
        <v>332</v>
      </c>
      <c r="D63" s="1681" t="s">
        <v>183</v>
      </c>
      <c r="E63" s="1673" t="s">
        <v>185</v>
      </c>
      <c r="F63" s="1674"/>
      <c r="G63" s="1675"/>
      <c r="H63" s="597"/>
      <c r="I63" s="1664"/>
      <c r="J63" s="1664"/>
      <c r="K63" s="1664"/>
      <c r="L63" s="1664"/>
      <c r="M63" s="1664"/>
      <c r="N63" s="1664"/>
      <c r="O63" s="597"/>
      <c r="P63" s="597"/>
      <c r="Q63" s="597"/>
      <c r="R63" s="597"/>
      <c r="S63" s="597"/>
      <c r="T63" s="597"/>
      <c r="U63" s="597"/>
      <c r="V63" s="597"/>
      <c r="W63" s="597"/>
      <c r="X63" s="597"/>
      <c r="Y63" s="597"/>
      <c r="Z63" s="597"/>
      <c r="AA63" s="597"/>
      <c r="AB63" s="597"/>
      <c r="AC63" s="597"/>
      <c r="AD63" s="597"/>
      <c r="AE63" s="597"/>
      <c r="AF63" s="597"/>
      <c r="AG63" s="597"/>
      <c r="AH63" s="597"/>
      <c r="AI63" s="597"/>
      <c r="AJ63" s="597"/>
      <c r="AK63" s="597"/>
    </row>
    <row r="64" spans="1:37" s="317" customFormat="1" hidden="1" x14ac:dyDescent="0.25">
      <c r="A64" s="1678"/>
      <c r="B64" s="1678"/>
      <c r="C64" s="1678"/>
      <c r="D64" s="1681"/>
      <c r="E64" s="931" t="s">
        <v>437</v>
      </c>
      <c r="F64" s="931" t="s">
        <v>687</v>
      </c>
      <c r="G64" s="931" t="s">
        <v>849</v>
      </c>
      <c r="H64" s="597"/>
      <c r="I64" s="1664"/>
      <c r="J64" s="1664"/>
      <c r="K64" s="1664"/>
      <c r="L64" s="1664"/>
      <c r="M64" s="1664"/>
      <c r="N64" s="1664"/>
      <c r="O64" s="597"/>
      <c r="P64" s="597"/>
      <c r="Q64" s="597"/>
      <c r="R64" s="597"/>
      <c r="S64" s="597"/>
      <c r="T64" s="597"/>
      <c r="U64" s="597"/>
      <c r="V64" s="597"/>
      <c r="W64" s="597"/>
      <c r="X64" s="597"/>
      <c r="Y64" s="597"/>
      <c r="Z64" s="597"/>
      <c r="AA64" s="597"/>
      <c r="AB64" s="597"/>
      <c r="AC64" s="597"/>
      <c r="AD64" s="597"/>
      <c r="AE64" s="597"/>
      <c r="AF64" s="597"/>
      <c r="AG64" s="597"/>
      <c r="AH64" s="597"/>
      <c r="AI64" s="597"/>
      <c r="AJ64" s="597"/>
      <c r="AK64" s="597"/>
    </row>
    <row r="65" spans="1:37" s="317" customFormat="1" hidden="1" x14ac:dyDescent="0.25">
      <c r="A65" s="970">
        <v>1</v>
      </c>
      <c r="B65" s="970">
        <v>2</v>
      </c>
      <c r="C65" s="970">
        <v>3</v>
      </c>
      <c r="D65" s="977">
        <v>4</v>
      </c>
      <c r="E65" s="978">
        <v>5</v>
      </c>
      <c r="F65" s="978">
        <v>6</v>
      </c>
      <c r="G65" s="978">
        <v>7</v>
      </c>
      <c r="H65" s="597"/>
      <c r="I65" s="979"/>
      <c r="J65" s="979"/>
      <c r="K65" s="979"/>
      <c r="L65" s="979"/>
      <c r="M65" s="979"/>
      <c r="N65" s="979"/>
      <c r="O65" s="597"/>
      <c r="P65" s="597"/>
      <c r="Q65" s="597"/>
      <c r="R65" s="597"/>
      <c r="S65" s="597"/>
      <c r="T65" s="597"/>
      <c r="U65" s="597"/>
      <c r="V65" s="597"/>
      <c r="W65" s="597"/>
      <c r="X65" s="597"/>
      <c r="Y65" s="597"/>
      <c r="Z65" s="597"/>
      <c r="AA65" s="597"/>
      <c r="AB65" s="597"/>
      <c r="AC65" s="597"/>
      <c r="AD65" s="597"/>
      <c r="AE65" s="597"/>
      <c r="AF65" s="597"/>
      <c r="AG65" s="597"/>
      <c r="AH65" s="597"/>
      <c r="AI65" s="597"/>
      <c r="AJ65" s="597"/>
      <c r="AK65" s="597"/>
    </row>
    <row r="66" spans="1:37" s="317" customFormat="1" ht="132" hidden="1" x14ac:dyDescent="0.25">
      <c r="A66" s="798">
        <v>1220</v>
      </c>
      <c r="B66" s="798">
        <v>130</v>
      </c>
      <c r="C66" s="798">
        <v>139</v>
      </c>
      <c r="D66" s="980" t="s">
        <v>673</v>
      </c>
      <c r="E66" s="241"/>
      <c r="F66" s="978"/>
      <c r="G66" s="978"/>
      <c r="H66" s="597"/>
      <c r="I66" s="981"/>
      <c r="J66" s="979"/>
      <c r="K66" s="979"/>
      <c r="L66" s="981"/>
      <c r="M66" s="979"/>
      <c r="N66" s="982"/>
      <c r="O66" s="597"/>
      <c r="P66" s="597"/>
      <c r="Q66" s="597"/>
      <c r="R66" s="597"/>
      <c r="S66" s="597"/>
      <c r="T66" s="597"/>
      <c r="U66" s="597"/>
      <c r="V66" s="597"/>
      <c r="W66" s="597"/>
      <c r="X66" s="597"/>
      <c r="Y66" s="597"/>
      <c r="Z66" s="597"/>
      <c r="AA66" s="597"/>
      <c r="AB66" s="597"/>
      <c r="AC66" s="597"/>
      <c r="AD66" s="597"/>
      <c r="AE66" s="597"/>
      <c r="AF66" s="597"/>
      <c r="AG66" s="597"/>
      <c r="AH66" s="597"/>
      <c r="AI66" s="597"/>
      <c r="AJ66" s="597"/>
      <c r="AK66" s="597"/>
    </row>
    <row r="67" spans="1:37" s="317" customFormat="1" hidden="1" x14ac:dyDescent="0.25">
      <c r="A67" s="954"/>
      <c r="B67" s="954"/>
      <c r="C67" s="954"/>
      <c r="D67" s="971" t="s">
        <v>97</v>
      </c>
      <c r="E67" s="241">
        <f>E66</f>
        <v>0</v>
      </c>
      <c r="F67" s="241">
        <f t="shared" ref="F67:G67" si="8">F66</f>
        <v>0</v>
      </c>
      <c r="G67" s="241">
        <f t="shared" si="8"/>
        <v>0</v>
      </c>
      <c r="H67" s="597"/>
      <c r="I67" s="983"/>
      <c r="J67" s="983"/>
      <c r="K67" s="983"/>
      <c r="L67" s="983"/>
      <c r="M67" s="983"/>
      <c r="N67" s="983"/>
      <c r="O67" s="597"/>
      <c r="P67" s="597"/>
      <c r="Q67" s="597"/>
      <c r="R67" s="597"/>
      <c r="S67" s="597"/>
      <c r="T67" s="597"/>
      <c r="U67" s="597"/>
      <c r="V67" s="597"/>
      <c r="W67" s="597"/>
      <c r="X67" s="597"/>
      <c r="Y67" s="597"/>
      <c r="Z67" s="597"/>
      <c r="AA67" s="597"/>
      <c r="AB67" s="597"/>
      <c r="AC67" s="597"/>
      <c r="AD67" s="597"/>
      <c r="AE67" s="597"/>
      <c r="AF67" s="597"/>
      <c r="AG67" s="597"/>
      <c r="AH67" s="597"/>
      <c r="AI67" s="597"/>
      <c r="AJ67" s="597"/>
      <c r="AK67" s="597"/>
    </row>
    <row r="68" spans="1:37" s="317" customFormat="1" hidden="1" x14ac:dyDescent="0.25">
      <c r="A68" s="597"/>
      <c r="B68" s="597"/>
      <c r="C68" s="597"/>
      <c r="D68" s="939"/>
      <c r="E68" s="939"/>
      <c r="F68" s="939"/>
      <c r="G68" s="973"/>
      <c r="H68" s="974"/>
      <c r="I68" s="328"/>
      <c r="J68" s="328"/>
      <c r="K68" s="328"/>
      <c r="L68" s="597"/>
      <c r="M68" s="597"/>
      <c r="N68" s="597"/>
      <c r="O68" s="597"/>
      <c r="P68" s="597"/>
      <c r="Q68" s="597"/>
      <c r="R68" s="597"/>
      <c r="S68" s="597"/>
      <c r="T68" s="597"/>
      <c r="U68" s="597"/>
      <c r="V68" s="597"/>
      <c r="W68" s="597"/>
      <c r="X68" s="597"/>
      <c r="Y68" s="597"/>
      <c r="Z68" s="597"/>
      <c r="AA68" s="597"/>
      <c r="AB68" s="597"/>
      <c r="AC68" s="597"/>
      <c r="AD68" s="597"/>
      <c r="AE68" s="597"/>
      <c r="AF68" s="597"/>
      <c r="AG68" s="597"/>
      <c r="AH68" s="597"/>
      <c r="AI68" s="597"/>
      <c r="AJ68" s="597"/>
      <c r="AK68" s="597"/>
    </row>
    <row r="69" spans="1:37" s="597" customFormat="1" ht="39.75" hidden="1" customHeight="1" x14ac:dyDescent="0.25">
      <c r="A69" s="1690" t="s">
        <v>835</v>
      </c>
      <c r="B69" s="1690"/>
      <c r="C69" s="1690"/>
      <c r="D69" s="1690"/>
      <c r="E69" s="1690"/>
      <c r="F69" s="1690"/>
      <c r="G69" s="1690"/>
      <c r="H69" s="800"/>
      <c r="I69" s="800"/>
      <c r="J69" s="800"/>
      <c r="K69" s="975"/>
      <c r="L69" s="99"/>
      <c r="M69" s="99"/>
      <c r="N69" s="99"/>
      <c r="O69" s="976"/>
      <c r="P69" s="976"/>
      <c r="Q69" s="976"/>
    </row>
    <row r="70" spans="1:37" s="317" customFormat="1" hidden="1" x14ac:dyDescent="0.25">
      <c r="A70" s="597"/>
      <c r="B70" s="597"/>
      <c r="C70" s="597"/>
      <c r="D70" s="597"/>
      <c r="E70" s="597"/>
      <c r="F70" s="597"/>
      <c r="G70" s="597"/>
      <c r="H70" s="597"/>
      <c r="I70" s="597"/>
      <c r="J70" s="597"/>
      <c r="K70" s="597"/>
      <c r="L70" s="597"/>
      <c r="M70" s="597"/>
      <c r="N70" s="597"/>
      <c r="O70" s="597"/>
      <c r="P70" s="597"/>
      <c r="Q70" s="597"/>
      <c r="R70" s="597"/>
      <c r="S70" s="597"/>
      <c r="T70" s="597"/>
      <c r="U70" s="597"/>
      <c r="V70" s="597"/>
      <c r="W70" s="597"/>
      <c r="X70" s="597"/>
      <c r="Y70" s="597"/>
      <c r="Z70" s="597"/>
      <c r="AA70" s="597"/>
      <c r="AB70" s="597"/>
      <c r="AC70" s="597"/>
      <c r="AD70" s="597"/>
      <c r="AE70" s="597"/>
      <c r="AF70" s="597"/>
      <c r="AG70" s="597"/>
      <c r="AH70" s="597"/>
      <c r="AI70" s="597"/>
      <c r="AJ70" s="597"/>
      <c r="AK70" s="597"/>
    </row>
    <row r="71" spans="1:37" s="317" customFormat="1" ht="15" hidden="1" customHeight="1" x14ac:dyDescent="0.25">
      <c r="A71" s="1677" t="s">
        <v>688</v>
      </c>
      <c r="B71" s="1677" t="s">
        <v>446</v>
      </c>
      <c r="C71" s="1677" t="s">
        <v>332</v>
      </c>
      <c r="D71" s="1681" t="s">
        <v>183</v>
      </c>
      <c r="E71" s="1673" t="s">
        <v>185</v>
      </c>
      <c r="F71" s="1674"/>
      <c r="G71" s="1675"/>
      <c r="H71" s="597"/>
      <c r="I71" s="1664"/>
      <c r="J71" s="1664"/>
      <c r="K71" s="1664"/>
      <c r="L71" s="1664"/>
      <c r="M71" s="1664"/>
      <c r="N71" s="1664"/>
      <c r="O71" s="597"/>
      <c r="P71" s="597"/>
      <c r="Q71" s="597"/>
      <c r="R71" s="597"/>
      <c r="S71" s="597"/>
      <c r="T71" s="597"/>
      <c r="U71" s="597"/>
      <c r="V71" s="597"/>
      <c r="W71" s="597"/>
      <c r="X71" s="597"/>
      <c r="Y71" s="597"/>
      <c r="Z71" s="597"/>
      <c r="AA71" s="597"/>
      <c r="AB71" s="597"/>
      <c r="AC71" s="597"/>
      <c r="AD71" s="597"/>
      <c r="AE71" s="597"/>
      <c r="AF71" s="597"/>
      <c r="AG71" s="597"/>
      <c r="AH71" s="597"/>
      <c r="AI71" s="597"/>
      <c r="AJ71" s="597"/>
      <c r="AK71" s="597"/>
    </row>
    <row r="72" spans="1:37" s="317" customFormat="1" hidden="1" x14ac:dyDescent="0.25">
      <c r="A72" s="1678"/>
      <c r="B72" s="1678"/>
      <c r="C72" s="1678"/>
      <c r="D72" s="1681"/>
      <c r="E72" s="931" t="s">
        <v>437</v>
      </c>
      <c r="F72" s="931" t="s">
        <v>687</v>
      </c>
      <c r="G72" s="931" t="s">
        <v>849</v>
      </c>
      <c r="H72" s="597"/>
      <c r="I72" s="1664"/>
      <c r="J72" s="1664"/>
      <c r="K72" s="1664"/>
      <c r="L72" s="1664"/>
      <c r="M72" s="1664"/>
      <c r="N72" s="1664"/>
      <c r="O72" s="597"/>
      <c r="P72" s="597"/>
      <c r="Q72" s="597"/>
      <c r="R72" s="597"/>
      <c r="S72" s="597"/>
      <c r="T72" s="597"/>
      <c r="U72" s="597"/>
      <c r="V72" s="597"/>
      <c r="W72" s="597"/>
      <c r="X72" s="597"/>
      <c r="Y72" s="597"/>
      <c r="Z72" s="597"/>
      <c r="AA72" s="597"/>
      <c r="AB72" s="597"/>
      <c r="AC72" s="597"/>
      <c r="AD72" s="597"/>
      <c r="AE72" s="597"/>
      <c r="AF72" s="597"/>
      <c r="AG72" s="597"/>
      <c r="AH72" s="597"/>
      <c r="AI72" s="597"/>
      <c r="AJ72" s="597"/>
      <c r="AK72" s="597"/>
    </row>
    <row r="73" spans="1:37" s="317" customFormat="1" hidden="1" x14ac:dyDescent="0.25">
      <c r="A73" s="970">
        <v>1</v>
      </c>
      <c r="B73" s="970">
        <v>2</v>
      </c>
      <c r="C73" s="970">
        <v>3</v>
      </c>
      <c r="D73" s="977">
        <v>4</v>
      </c>
      <c r="E73" s="978">
        <v>5</v>
      </c>
      <c r="F73" s="978">
        <v>6</v>
      </c>
      <c r="G73" s="978">
        <v>7</v>
      </c>
      <c r="H73" s="597"/>
      <c r="I73" s="979"/>
      <c r="J73" s="979"/>
      <c r="K73" s="979"/>
      <c r="L73" s="979"/>
      <c r="M73" s="979"/>
      <c r="N73" s="979"/>
      <c r="O73" s="597"/>
      <c r="P73" s="597"/>
      <c r="Q73" s="597"/>
      <c r="R73" s="597"/>
      <c r="S73" s="597"/>
      <c r="T73" s="597"/>
      <c r="U73" s="597"/>
      <c r="V73" s="597"/>
      <c r="W73" s="597"/>
      <c r="X73" s="597"/>
      <c r="Y73" s="597"/>
      <c r="Z73" s="597"/>
      <c r="AA73" s="597"/>
      <c r="AB73" s="597"/>
      <c r="AC73" s="597"/>
      <c r="AD73" s="597"/>
      <c r="AE73" s="597"/>
      <c r="AF73" s="597"/>
      <c r="AG73" s="597"/>
      <c r="AH73" s="597"/>
      <c r="AI73" s="597"/>
      <c r="AJ73" s="597"/>
      <c r="AK73" s="597"/>
    </row>
    <row r="74" spans="1:37" s="317" customFormat="1" ht="105.6" hidden="1" x14ac:dyDescent="0.25">
      <c r="A74" s="798">
        <v>1981</v>
      </c>
      <c r="B74" s="798">
        <v>510</v>
      </c>
      <c r="C74" s="830" t="s">
        <v>341</v>
      </c>
      <c r="D74" s="980" t="s">
        <v>835</v>
      </c>
      <c r="E74" s="241"/>
      <c r="F74" s="978"/>
      <c r="G74" s="978"/>
      <c r="H74" s="597"/>
      <c r="I74" s="981"/>
      <c r="J74" s="979"/>
      <c r="K74" s="979"/>
      <c r="L74" s="981"/>
      <c r="M74" s="979"/>
      <c r="N74" s="982"/>
      <c r="O74" s="597"/>
      <c r="P74" s="597"/>
      <c r="Q74" s="597"/>
      <c r="R74" s="597"/>
      <c r="S74" s="597"/>
      <c r="T74" s="597"/>
      <c r="U74" s="597"/>
      <c r="V74" s="597"/>
      <c r="W74" s="597"/>
      <c r="X74" s="597"/>
      <c r="Y74" s="597"/>
      <c r="Z74" s="597"/>
      <c r="AA74" s="597"/>
      <c r="AB74" s="597"/>
      <c r="AC74" s="597"/>
      <c r="AD74" s="597"/>
      <c r="AE74" s="597"/>
      <c r="AF74" s="597"/>
      <c r="AG74" s="597"/>
      <c r="AH74" s="597"/>
      <c r="AI74" s="597"/>
      <c r="AJ74" s="597"/>
      <c r="AK74" s="597"/>
    </row>
    <row r="75" spans="1:37" s="317" customFormat="1" hidden="1" x14ac:dyDescent="0.25">
      <c r="A75" s="954"/>
      <c r="B75" s="954"/>
      <c r="C75" s="954"/>
      <c r="D75" s="971" t="s">
        <v>97</v>
      </c>
      <c r="E75" s="241">
        <f>E74</f>
        <v>0</v>
      </c>
      <c r="F75" s="241">
        <f t="shared" ref="F75:G75" si="9">F74</f>
        <v>0</v>
      </c>
      <c r="G75" s="241">
        <f t="shared" si="9"/>
        <v>0</v>
      </c>
      <c r="H75" s="597"/>
      <c r="I75" s="983"/>
      <c r="J75" s="983"/>
      <c r="K75" s="983"/>
      <c r="L75" s="983"/>
      <c r="M75" s="983"/>
      <c r="N75" s="983"/>
      <c r="O75" s="597"/>
      <c r="P75" s="597"/>
      <c r="Q75" s="597"/>
      <c r="R75" s="597"/>
      <c r="S75" s="597"/>
      <c r="T75" s="597"/>
      <c r="U75" s="597"/>
      <c r="V75" s="597"/>
      <c r="W75" s="597"/>
      <c r="X75" s="597"/>
      <c r="Y75" s="597"/>
      <c r="Z75" s="597"/>
      <c r="AA75" s="597"/>
      <c r="AB75" s="597"/>
      <c r="AC75" s="597"/>
      <c r="AD75" s="597"/>
      <c r="AE75" s="597"/>
      <c r="AF75" s="597"/>
      <c r="AG75" s="597"/>
      <c r="AH75" s="597"/>
      <c r="AI75" s="597"/>
      <c r="AJ75" s="597"/>
      <c r="AK75" s="597"/>
    </row>
    <row r="76" spans="1:37" s="317" customFormat="1" hidden="1" x14ac:dyDescent="0.25">
      <c r="A76" s="597"/>
      <c r="B76" s="597"/>
      <c r="C76" s="597"/>
      <c r="D76" s="597"/>
      <c r="E76" s="597"/>
      <c r="F76" s="597"/>
      <c r="G76" s="597"/>
      <c r="H76" s="597"/>
      <c r="I76" s="597"/>
      <c r="J76" s="597"/>
      <c r="K76" s="597"/>
      <c r="L76" s="597"/>
      <c r="M76" s="597"/>
      <c r="N76" s="597"/>
      <c r="O76" s="597"/>
      <c r="P76" s="597"/>
      <c r="Q76" s="597"/>
      <c r="R76" s="597"/>
      <c r="S76" s="597"/>
      <c r="T76" s="597"/>
      <c r="U76" s="597"/>
      <c r="V76" s="597"/>
      <c r="W76" s="597"/>
      <c r="X76" s="597"/>
      <c r="Y76" s="597"/>
      <c r="Z76" s="597"/>
      <c r="AA76" s="597"/>
      <c r="AB76" s="597"/>
      <c r="AC76" s="597"/>
      <c r="AD76" s="597"/>
      <c r="AE76" s="597"/>
      <c r="AF76" s="597"/>
      <c r="AG76" s="597"/>
      <c r="AH76" s="597"/>
      <c r="AI76" s="597"/>
      <c r="AJ76" s="597"/>
      <c r="AK76" s="597"/>
    </row>
    <row r="77" spans="1:37" s="317" customFormat="1" hidden="1" x14ac:dyDescent="0.25"/>
    <row r="78" spans="1:37" s="317" customFormat="1" hidden="1" x14ac:dyDescent="0.25"/>
    <row r="81" spans="7:17" ht="37.200000000000003" x14ac:dyDescent="0.25">
      <c r="G81" s="1080" t="s">
        <v>177</v>
      </c>
      <c r="H81" s="511" t="s">
        <v>692</v>
      </c>
      <c r="I81" s="1110" t="s">
        <v>888</v>
      </c>
      <c r="J81" s="511" t="s">
        <v>842</v>
      </c>
      <c r="K81" s="511" t="s">
        <v>885</v>
      </c>
    </row>
    <row r="82" spans="7:17" ht="36.75" customHeight="1" x14ac:dyDescent="0.3">
      <c r="G82" s="1108" t="s">
        <v>693</v>
      </c>
      <c r="H82" s="1109">
        <f>AF19+E67+I37+E75+E59+G48</f>
        <v>5343500</v>
      </c>
      <c r="I82" s="1109"/>
      <c r="J82" s="1109">
        <f>AG19+F59+F67+K48</f>
        <v>5618300</v>
      </c>
      <c r="K82" s="1109">
        <f>AH19+G59+G67+O48</f>
        <v>5880300</v>
      </c>
      <c r="O82" s="630"/>
      <c r="P82" s="630"/>
      <c r="Q82" s="630"/>
    </row>
  </sheetData>
  <mergeCells count="104">
    <mergeCell ref="A2:AH2"/>
    <mergeCell ref="A4:AH4"/>
    <mergeCell ref="A5:AH5"/>
    <mergeCell ref="I72:K72"/>
    <mergeCell ref="L72:N72"/>
    <mergeCell ref="A69:G69"/>
    <mergeCell ref="A71:A72"/>
    <mergeCell ref="B71:B72"/>
    <mergeCell ref="C71:C72"/>
    <mergeCell ref="D71:D72"/>
    <mergeCell ref="E71:G71"/>
    <mergeCell ref="I71:K71"/>
    <mergeCell ref="L71:N71"/>
    <mergeCell ref="D44:G44"/>
    <mergeCell ref="H44:K44"/>
    <mergeCell ref="L44:O44"/>
    <mergeCell ref="AC11:AE11"/>
    <mergeCell ref="C42:C44"/>
    <mergeCell ref="D42:D43"/>
    <mergeCell ref="F42:F43"/>
    <mergeCell ref="A8:AH8"/>
    <mergeCell ref="H10:AE10"/>
    <mergeCell ref="I64:K64"/>
    <mergeCell ref="L64:N64"/>
    <mergeCell ref="Q11:S11"/>
    <mergeCell ref="E53:G53"/>
    <mergeCell ref="AF10:AF12"/>
    <mergeCell ref="A53:A54"/>
    <mergeCell ref="B56:B58"/>
    <mergeCell ref="A56:A58"/>
    <mergeCell ref="D53:D54"/>
    <mergeCell ref="A45:B45"/>
    <mergeCell ref="D63:D64"/>
    <mergeCell ref="C53:C54"/>
    <mergeCell ref="E63:G63"/>
    <mergeCell ref="A61:G61"/>
    <mergeCell ref="A63:A64"/>
    <mergeCell ref="B63:B64"/>
    <mergeCell ref="C63:C64"/>
    <mergeCell ref="C56:C58"/>
    <mergeCell ref="A46:B46"/>
    <mergeCell ref="B53:B54"/>
    <mergeCell ref="A22:Q22"/>
    <mergeCell ref="A24:A26"/>
    <mergeCell ref="B24:B26"/>
    <mergeCell ref="C24:C26"/>
    <mergeCell ref="D24:D26"/>
    <mergeCell ref="A51:G51"/>
    <mergeCell ref="G10:G12"/>
    <mergeCell ref="A42:B43"/>
    <mergeCell ref="E42:E43"/>
    <mergeCell ref="T11:V11"/>
    <mergeCell ref="L63:N63"/>
    <mergeCell ref="H11:J11"/>
    <mergeCell ref="K11:M11"/>
    <mergeCell ref="L42:L43"/>
    <mergeCell ref="M42:M43"/>
    <mergeCell ref="N42:N43"/>
    <mergeCell ref="O42:O43"/>
    <mergeCell ref="N26:Q26"/>
    <mergeCell ref="M24:M25"/>
    <mergeCell ref="N24:N25"/>
    <mergeCell ref="O24:O25"/>
    <mergeCell ref="P24:P25"/>
    <mergeCell ref="Q24:Q25"/>
    <mergeCell ref="I63:K63"/>
    <mergeCell ref="D13:AH13"/>
    <mergeCell ref="AG10:AG12"/>
    <mergeCell ref="AH10:AH12"/>
    <mergeCell ref="W11:Y11"/>
    <mergeCell ref="Z11:AB11"/>
    <mergeCell ref="N11:P11"/>
    <mergeCell ref="A48:F48"/>
    <mergeCell ref="H48:J48"/>
    <mergeCell ref="L48:N48"/>
    <mergeCell ref="A19:F19"/>
    <mergeCell ref="H24:H25"/>
    <mergeCell ref="I24:I25"/>
    <mergeCell ref="J24:J25"/>
    <mergeCell ref="A39:O39"/>
    <mergeCell ref="A28:A36"/>
    <mergeCell ref="B28:B36"/>
    <mergeCell ref="C28:C36"/>
    <mergeCell ref="F26:I26"/>
    <mergeCell ref="J26:M26"/>
    <mergeCell ref="K24:K25"/>
    <mergeCell ref="L24:L25"/>
    <mergeCell ref="F24:F25"/>
    <mergeCell ref="G24:G25"/>
    <mergeCell ref="G42:G43"/>
    <mergeCell ref="H42:H43"/>
    <mergeCell ref="I42:I43"/>
    <mergeCell ref="J42:J43"/>
    <mergeCell ref="K42:K43"/>
    <mergeCell ref="E24:E26"/>
    <mergeCell ref="C13:C18"/>
    <mergeCell ref="B13:B18"/>
    <mergeCell ref="A13:A18"/>
    <mergeCell ref="A10:A12"/>
    <mergeCell ref="B10:B12"/>
    <mergeCell ref="E10:E12"/>
    <mergeCell ref="D10:D12"/>
    <mergeCell ref="F10:F12"/>
    <mergeCell ref="C10:C12"/>
  </mergeCells>
  <printOptions horizontalCentered="1"/>
  <pageMargins left="0.15748031496062992" right="0.15748031496062992" top="1.1811023622047245" bottom="0.74803149606299213" header="0.31496062992125984" footer="0.31496062992125984"/>
  <pageSetup paperSize="9" scale="33" fitToHeight="0" orientation="landscape" r:id="rId1"/>
  <colBreaks count="1" manualBreakCount="1">
    <brk id="34" max="8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N6"/>
  <sheetViews>
    <sheetView view="pageBreakPreview" zoomScale="80" zoomScaleNormal="80" zoomScaleSheetLayoutView="80" workbookViewId="0">
      <pane xSplit="4" ySplit="4" topLeftCell="E5" activePane="bottomRight" state="frozen"/>
      <selection activeCell="A11" sqref="A11:AB11"/>
      <selection pane="topRight" activeCell="A11" sqref="A11:AB11"/>
      <selection pane="bottomLeft" activeCell="A11" sqref="A11:AB11"/>
      <selection pane="bottomRight" activeCell="H3" sqref="H3"/>
    </sheetView>
  </sheetViews>
  <sheetFormatPr defaultColWidth="9.33203125" defaultRowHeight="14.4" x14ac:dyDescent="0.3"/>
  <cols>
    <col min="1" max="1" width="6.109375" style="296" customWidth="1"/>
    <col min="2" max="2" width="24.33203125" style="296" customWidth="1"/>
    <col min="3" max="3" width="32.6640625" style="296" customWidth="1"/>
    <col min="4" max="4" width="28.6640625" style="296" customWidth="1"/>
    <col min="5" max="5" width="11.33203125" style="296" customWidth="1"/>
    <col min="6" max="14" width="24.6640625" style="296" customWidth="1"/>
    <col min="15" max="16384" width="9.33203125" style="296"/>
  </cols>
  <sheetData>
    <row r="1" spans="1:14" ht="34.5" customHeight="1" x14ac:dyDescent="0.3">
      <c r="A1" s="1696" t="s">
        <v>394</v>
      </c>
      <c r="B1" s="1696"/>
      <c r="C1" s="1696"/>
      <c r="D1" s="1696"/>
      <c r="E1" s="1696"/>
      <c r="F1" s="1696"/>
      <c r="G1" s="1696"/>
      <c r="H1" s="1696"/>
      <c r="I1" s="1696"/>
      <c r="J1" s="1696"/>
      <c r="K1" s="1696"/>
      <c r="L1" s="1696"/>
      <c r="M1" s="1696"/>
      <c r="N1" s="1696"/>
    </row>
    <row r="2" spans="1:14" x14ac:dyDescent="0.3">
      <c r="A2" s="301"/>
      <c r="B2" s="301"/>
      <c r="C2" s="301"/>
      <c r="D2" s="301"/>
      <c r="E2" s="301"/>
      <c r="F2" s="301"/>
      <c r="G2" s="301"/>
      <c r="H2" s="301"/>
      <c r="I2" s="301"/>
      <c r="J2" s="301"/>
      <c r="K2" s="301"/>
      <c r="L2" s="301"/>
      <c r="M2" s="301"/>
      <c r="N2" s="315"/>
    </row>
    <row r="3" spans="1:14" s="297" customFormat="1" ht="34.5" customHeight="1" x14ac:dyDescent="0.3">
      <c r="A3" s="1697" t="s">
        <v>78</v>
      </c>
      <c r="B3" s="1697" t="s">
        <v>176</v>
      </c>
      <c r="C3" s="1697" t="s">
        <v>179</v>
      </c>
      <c r="D3" s="1697"/>
      <c r="E3" s="1698" t="s">
        <v>180</v>
      </c>
      <c r="F3" s="313" t="s">
        <v>355</v>
      </c>
      <c r="G3" s="305" t="s">
        <v>356</v>
      </c>
      <c r="H3" s="305" t="s">
        <v>357</v>
      </c>
      <c r="I3" s="313" t="s">
        <v>355</v>
      </c>
      <c r="J3" s="305" t="s">
        <v>356</v>
      </c>
      <c r="K3" s="305" t="s">
        <v>357</v>
      </c>
      <c r="L3" s="313" t="s">
        <v>355</v>
      </c>
      <c r="M3" s="305" t="s">
        <v>356</v>
      </c>
      <c r="N3" s="305" t="s">
        <v>357</v>
      </c>
    </row>
    <row r="4" spans="1:14" s="297" customFormat="1" x14ac:dyDescent="0.3">
      <c r="A4" s="1697"/>
      <c r="B4" s="1697"/>
      <c r="C4" s="1697"/>
      <c r="D4" s="1697"/>
      <c r="E4" s="1699"/>
      <c r="F4" s="1700" t="s">
        <v>358</v>
      </c>
      <c r="G4" s="1701"/>
      <c r="H4" s="1702"/>
      <c r="I4" s="1700" t="s">
        <v>369</v>
      </c>
      <c r="J4" s="1701"/>
      <c r="K4" s="1702"/>
      <c r="L4" s="1700" t="s">
        <v>395</v>
      </c>
      <c r="M4" s="1701"/>
      <c r="N4" s="1702"/>
    </row>
    <row r="5" spans="1:14" x14ac:dyDescent="0.3">
      <c r="A5" s="310">
        <v>1</v>
      </c>
      <c r="B5" s="310">
        <v>2</v>
      </c>
      <c r="C5" s="310">
        <v>3</v>
      </c>
      <c r="D5" s="312">
        <v>4</v>
      </c>
      <c r="E5" s="310">
        <v>5</v>
      </c>
      <c r="F5" s="312">
        <v>6</v>
      </c>
      <c r="G5" s="310">
        <v>7</v>
      </c>
      <c r="H5" s="312">
        <v>8</v>
      </c>
      <c r="I5" s="310">
        <v>9</v>
      </c>
      <c r="J5" s="312">
        <v>10</v>
      </c>
      <c r="K5" s="310">
        <v>11</v>
      </c>
      <c r="L5" s="312">
        <v>12</v>
      </c>
      <c r="M5" s="310">
        <v>13</v>
      </c>
      <c r="N5" s="312">
        <v>14</v>
      </c>
    </row>
    <row r="6" spans="1:14" s="309" customFormat="1" ht="47.25" customHeight="1" x14ac:dyDescent="0.25">
      <c r="A6" s="310">
        <v>1</v>
      </c>
      <c r="B6" s="314"/>
      <c r="C6" s="310" t="s">
        <v>359</v>
      </c>
      <c r="D6" s="310"/>
      <c r="E6" s="310" t="s">
        <v>354</v>
      </c>
      <c r="F6" s="303"/>
      <c r="G6" s="303"/>
      <c r="H6" s="303"/>
      <c r="I6" s="303"/>
      <c r="J6" s="303"/>
      <c r="K6" s="303"/>
      <c r="L6" s="303"/>
      <c r="M6" s="303"/>
      <c r="N6" s="303"/>
    </row>
  </sheetData>
  <mergeCells count="8">
    <mergeCell ref="A1:N1"/>
    <mergeCell ref="A3:A4"/>
    <mergeCell ref="B3:B4"/>
    <mergeCell ref="C3:D4"/>
    <mergeCell ref="E3:E4"/>
    <mergeCell ref="F4:H4"/>
    <mergeCell ref="I4:K4"/>
    <mergeCell ref="L4:N4"/>
  </mergeCells>
  <pageMargins left="0.31496062992125984" right="0.11811023622047245" top="0.74803149606299213" bottom="0.74803149606299213" header="0.31496062992125984" footer="0.31496062992125984"/>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34</vt:i4>
      </vt:variant>
      <vt:variant>
        <vt:lpstr>Именованные диапазоны</vt:lpstr>
      </vt:variant>
      <vt:variant>
        <vt:i4>38</vt:i4>
      </vt:variant>
    </vt:vector>
  </HeadingPairs>
  <TitlesOfParts>
    <vt:vector size="72" baseType="lpstr">
      <vt:lpstr>СВОД (2)</vt:lpstr>
      <vt:lpstr>СВОД</vt:lpstr>
      <vt:lpstr>музей 2020</vt:lpstr>
      <vt:lpstr>Родина 2020</vt:lpstr>
      <vt:lpstr>ФХД_ Поступления и выплаты</vt:lpstr>
      <vt:lpstr>Поступления всего</vt:lpstr>
      <vt:lpstr>поступления 831, 841 26-28</vt:lpstr>
      <vt:lpstr>поступления 810 26-28</vt:lpstr>
      <vt:lpstr>концерты строка 1220 (131)+</vt:lpstr>
      <vt:lpstr>возмещ ком услстрока 1230(135)+</vt:lpstr>
      <vt:lpstr>постуления 820 26-28</vt:lpstr>
      <vt:lpstr>прочие поступ строка 1980 (510)</vt:lpstr>
      <vt:lpstr>КВР</vt:lpstr>
      <vt:lpstr>расходы 831, 841 26</vt:lpstr>
      <vt:lpstr>расходы 810 26</vt:lpstr>
      <vt:lpstr>расходы 820 26</vt:lpstr>
      <vt:lpstr>расходы 831, 841 27-28</vt:lpstr>
      <vt:lpstr>расходы 810 27-28</vt:lpstr>
      <vt:lpstr>расходы 820 27-28</vt:lpstr>
      <vt:lpstr>ГЦК+Энергия 2020</vt:lpstr>
      <vt:lpstr>Юбилейный 2020</vt:lpstr>
      <vt:lpstr>Высоцкий 2020</vt:lpstr>
      <vt:lpstr>музей 2021</vt:lpstr>
      <vt:lpstr>Родина 2021</vt:lpstr>
      <vt:lpstr>ЦБС 2021</vt:lpstr>
      <vt:lpstr>ГЦК+Энергия 2021</vt:lpstr>
      <vt:lpstr>Юбилейный 2021</vt:lpstr>
      <vt:lpstr>Высоцкий 2021</vt:lpstr>
      <vt:lpstr>музей 2022</vt:lpstr>
      <vt:lpstr>Родина 2022</vt:lpstr>
      <vt:lpstr>ЦБС 2022</vt:lpstr>
      <vt:lpstr>ГЦК+Энергия 2022</vt:lpstr>
      <vt:lpstr>Юбилейный 2022</vt:lpstr>
      <vt:lpstr>Высоцкий 2022</vt:lpstr>
      <vt:lpstr>'ФХД_ Поступления и выплаты'!IS_DOCUMENT</vt:lpstr>
      <vt:lpstr>'ГЦК+Энергия 2020'!Заголовки_для_печати</vt:lpstr>
      <vt:lpstr>'ГЦК+Энергия 2021'!Заголовки_для_печати</vt:lpstr>
      <vt:lpstr>'ГЦК+Энергия 2022'!Заголовки_для_печати</vt:lpstr>
      <vt:lpstr>'возмещ ком услстрока 1230(135)+'!Область_печати</vt:lpstr>
      <vt:lpstr>'Высоцкий 2020'!Область_печати</vt:lpstr>
      <vt:lpstr>'Высоцкий 2021'!Область_печати</vt:lpstr>
      <vt:lpstr>'Высоцкий 2022'!Область_печати</vt:lpstr>
      <vt:lpstr>'ГЦК+Энергия 2020'!Область_печати</vt:lpstr>
      <vt:lpstr>'ГЦК+Энергия 2021'!Область_печати</vt:lpstr>
      <vt:lpstr>'ГЦК+Энергия 2022'!Область_печати</vt:lpstr>
      <vt:lpstr>КВР!Область_печати</vt:lpstr>
      <vt:lpstr>'концерты строка 1220 (131)+'!Область_печати</vt:lpstr>
      <vt:lpstr>'музей 2020'!Область_печати</vt:lpstr>
      <vt:lpstr>'музей 2021'!Область_печати</vt:lpstr>
      <vt:lpstr>'музей 2022'!Область_печати</vt:lpstr>
      <vt:lpstr>'постуления 820 26-28'!Область_печати</vt:lpstr>
      <vt:lpstr>'поступления 810 26-28'!Область_печати</vt:lpstr>
      <vt:lpstr>'поступления 831, 841 26-28'!Область_печати</vt:lpstr>
      <vt:lpstr>'Поступления всего'!Область_печати</vt:lpstr>
      <vt:lpstr>'прочие поступ строка 1980 (510)'!Область_печати</vt:lpstr>
      <vt:lpstr>'расходы 810 26'!Область_печати</vt:lpstr>
      <vt:lpstr>'расходы 810 27-28'!Область_печати</vt:lpstr>
      <vt:lpstr>'расходы 820 26'!Область_печати</vt:lpstr>
      <vt:lpstr>'расходы 820 27-28'!Область_печати</vt:lpstr>
      <vt:lpstr>'расходы 831, 841 26'!Область_печати</vt:lpstr>
      <vt:lpstr>'расходы 831, 841 27-28'!Область_печати</vt:lpstr>
      <vt:lpstr>'Родина 2020'!Область_печати</vt:lpstr>
      <vt:lpstr>'Родина 2021'!Область_печати</vt:lpstr>
      <vt:lpstr>'Родина 2022'!Область_печати</vt:lpstr>
      <vt:lpstr>СВОД!Область_печати</vt:lpstr>
      <vt:lpstr>'СВОД (2)'!Область_печати</vt:lpstr>
      <vt:lpstr>'ФХД_ Поступления и выплаты'!Область_печати</vt:lpstr>
      <vt:lpstr>'ЦБС 2021'!Область_печати</vt:lpstr>
      <vt:lpstr>'ЦБС 2022'!Область_печати</vt:lpstr>
      <vt:lpstr>'Юбилейный 2020'!Область_печати</vt:lpstr>
      <vt:lpstr>'Юбилейный 2021'!Область_печати</vt:lpstr>
      <vt:lpstr>'Юбилейный 2022'!Область_печати</vt:lpstr>
    </vt:vector>
  </TitlesOfParts>
  <Company>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андрей</dc:creator>
  <cp:lastModifiedBy>Печеневская Елена Ивановна</cp:lastModifiedBy>
  <cp:lastPrinted>2025-08-05T05:29:34Z</cp:lastPrinted>
  <dcterms:created xsi:type="dcterms:W3CDTF">2011-02-11T02:31:04Z</dcterms:created>
  <dcterms:modified xsi:type="dcterms:W3CDTF">2025-12-23T12:15:17Z</dcterms:modified>
</cp:coreProperties>
</file>