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3040" windowHeight="8616" activeTab="2"/>
  </bookViews>
  <sheets>
    <sheet name="Энерг.Ц." sheetId="1" r:id="rId1"/>
    <sheet name="Меню лето" sheetId="2" r:id="rId2"/>
    <sheet name="Сырьё лето" sheetId="3" r:id="rId3"/>
  </sheets>
  <calcPr calcId="162913" iterate="1" iterateDelta="0"/>
</workbook>
</file>

<file path=xl/calcChain.xml><?xml version="1.0" encoding="utf-8"?>
<calcChain xmlns="http://schemas.openxmlformats.org/spreadsheetml/2006/main">
  <c r="CS39" i="2" l="1"/>
  <c r="CT39" i="2" s="1"/>
  <c r="CR39" i="2"/>
  <c r="CQ39" i="2"/>
  <c r="CT29" i="2"/>
  <c r="CT17" i="2"/>
  <c r="CT9" i="2"/>
  <c r="CT8" i="2"/>
  <c r="CJ37" i="2"/>
  <c r="CJ36" i="2"/>
  <c r="CJ28" i="2"/>
  <c r="CJ16" i="2"/>
  <c r="CJ27" i="2"/>
  <c r="CJ8" i="2"/>
  <c r="BZ38" i="2"/>
  <c r="BZ34" i="2"/>
  <c r="BZ28" i="2"/>
  <c r="BZ26" i="2"/>
  <c r="BZ27" i="2"/>
  <c r="BZ23" i="2"/>
  <c r="BZ8" i="2"/>
  <c r="BP40" i="2"/>
  <c r="BF38" i="2"/>
  <c r="BC30" i="2"/>
  <c r="BD30" i="2"/>
  <c r="BE30" i="2"/>
  <c r="BB30" i="2"/>
  <c r="BF29" i="2"/>
  <c r="BF23" i="2"/>
  <c r="BF16" i="2"/>
  <c r="BD12" i="2"/>
  <c r="BE12" i="2"/>
  <c r="BC12" i="2"/>
  <c r="BF6" i="2"/>
  <c r="AV39" i="2"/>
  <c r="AV36" i="2"/>
  <c r="AV34" i="2"/>
  <c r="AV28" i="2"/>
  <c r="AV29" i="2"/>
  <c r="AV27" i="2"/>
  <c r="AV9" i="2"/>
  <c r="AV7" i="2"/>
  <c r="AV8" i="2"/>
  <c r="AL39" i="2"/>
  <c r="AL34" i="2"/>
  <c r="AL29" i="2"/>
  <c r="AL28" i="2"/>
  <c r="AL23" i="2"/>
  <c r="AL16" i="2"/>
  <c r="AL8" i="2"/>
  <c r="AB38" i="2"/>
  <c r="AB27" i="2"/>
  <c r="AB28" i="2"/>
  <c r="AB8" i="2"/>
  <c r="R28" i="2"/>
  <c r="R27" i="2"/>
  <c r="H37" i="2" l="1"/>
  <c r="H34" i="2"/>
  <c r="H7" i="2"/>
  <c r="H8" i="2"/>
  <c r="H6" i="2"/>
  <c r="T196" i="3" l="1"/>
  <c r="AG217" i="3"/>
  <c r="N209" i="3"/>
  <c r="Y134" i="3"/>
  <c r="W134" i="3"/>
  <c r="CT35" i="2" l="1"/>
  <c r="CT25" i="2"/>
  <c r="CT6" i="2"/>
  <c r="CJ6" i="2"/>
  <c r="CJ7" i="2"/>
  <c r="BZ7" i="2"/>
  <c r="BZ5" i="2"/>
  <c r="BP24" i="2"/>
  <c r="BP27" i="2"/>
  <c r="BP6" i="2"/>
  <c r="BP7" i="2"/>
  <c r="BP8" i="2"/>
  <c r="BP5" i="2"/>
  <c r="AV25" i="2"/>
  <c r="AV6" i="2"/>
  <c r="BF8" i="2"/>
  <c r="BF9" i="2"/>
  <c r="BF10" i="2"/>
  <c r="BF35" i="2"/>
  <c r="BF37" i="2"/>
  <c r="BF34" i="2"/>
  <c r="AL35" i="2"/>
  <c r="AL37" i="2"/>
  <c r="AL7" i="2"/>
  <c r="AL5" i="2"/>
  <c r="AB35" i="2"/>
  <c r="AB24" i="2"/>
  <c r="AB6" i="2"/>
  <c r="CT36" i="2" l="1"/>
  <c r="BF7" i="2"/>
  <c r="AB7" i="2"/>
  <c r="R7" i="2" l="1"/>
  <c r="H25" i="2"/>
  <c r="H5" i="2"/>
  <c r="CJ34" i="2" l="1"/>
  <c r="BZ25" i="2" l="1"/>
  <c r="BF25" i="2"/>
  <c r="BF28" i="2"/>
  <c r="BP35" i="2"/>
  <c r="BP37" i="2"/>
  <c r="BP38" i="2"/>
  <c r="BP34" i="2"/>
  <c r="R37" i="2"/>
  <c r="R38" i="2"/>
  <c r="BZ35" i="2"/>
  <c r="BZ37" i="2"/>
  <c r="AV35" i="2"/>
  <c r="AV38" i="2"/>
  <c r="R25" i="2"/>
  <c r="H35" i="2"/>
  <c r="H38" i="2"/>
  <c r="R23" i="2" l="1"/>
  <c r="CJ23" i="2"/>
  <c r="R35" i="2"/>
  <c r="CU26" i="2" l="1"/>
  <c r="CS26" i="2"/>
  <c r="CR26" i="2"/>
  <c r="CQ26" i="2"/>
  <c r="CU24" i="2"/>
  <c r="CS24" i="2"/>
  <c r="CK35" i="2"/>
  <c r="CI35" i="2"/>
  <c r="CH35" i="2"/>
  <c r="CG35" i="2"/>
  <c r="CK25" i="2"/>
  <c r="CK26" i="2"/>
  <c r="CI26" i="2"/>
  <c r="CH26" i="2"/>
  <c r="CG26" i="2"/>
  <c r="CA24" i="2"/>
  <c r="CS28" i="2"/>
  <c r="CR28" i="2"/>
  <c r="CQ28" i="2"/>
  <c r="CA6" i="2"/>
  <c r="BQ26" i="2"/>
  <c r="BN26" i="2"/>
  <c r="BM26" i="2"/>
  <c r="BQ23" i="2"/>
  <c r="BE36" i="2"/>
  <c r="BG24" i="2"/>
  <c r="BG30" i="2" s="1"/>
  <c r="BG10" i="2"/>
  <c r="BF5" i="2" l="1"/>
  <c r="BF12" i="2" s="1"/>
  <c r="CT28" i="2"/>
  <c r="CT7" i="2"/>
  <c r="CT37" i="2"/>
  <c r="CT23" i="2"/>
  <c r="CT24" i="2"/>
  <c r="CT26" i="2"/>
  <c r="CT34" i="2"/>
  <c r="CT38" i="2"/>
  <c r="CT5" i="2"/>
  <c r="CT27" i="2"/>
  <c r="AV37" i="2"/>
  <c r="BZ6" i="2"/>
  <c r="BP23" i="2"/>
  <c r="BP25" i="2"/>
  <c r="BP26" i="2"/>
  <c r="BP36" i="2"/>
  <c r="CJ26" i="2"/>
  <c r="CJ24" i="2"/>
  <c r="CJ25" i="2"/>
  <c r="CJ35" i="2"/>
  <c r="BF24" i="2"/>
  <c r="BF26" i="2"/>
  <c r="BF27" i="2"/>
  <c r="BF36" i="2"/>
  <c r="BP39" i="2"/>
  <c r="BZ39" i="2"/>
  <c r="BZ24" i="2"/>
  <c r="BZ36" i="2"/>
  <c r="CJ5" i="2"/>
  <c r="AW24" i="2"/>
  <c r="AU24" i="2"/>
  <c r="AT24" i="2"/>
  <c r="AS24" i="2"/>
  <c r="AW23" i="2"/>
  <c r="AU23" i="2"/>
  <c r="AT23" i="2"/>
  <c r="AS23" i="2"/>
  <c r="AW5" i="2"/>
  <c r="AU5" i="2"/>
  <c r="AT5" i="2"/>
  <c r="AS5" i="2"/>
  <c r="AC38" i="2"/>
  <c r="AC26" i="2"/>
  <c r="S36" i="2"/>
  <c r="Q36" i="2"/>
  <c r="P36" i="2"/>
  <c r="O36" i="2"/>
  <c r="S26" i="2"/>
  <c r="Q26" i="2"/>
  <c r="P26" i="2"/>
  <c r="O26" i="2"/>
  <c r="S6" i="2"/>
  <c r="Q6" i="2"/>
  <c r="P6" i="2"/>
  <c r="O6" i="2"/>
  <c r="G9" i="2"/>
  <c r="F9" i="2"/>
  <c r="E9" i="2"/>
  <c r="BF30" i="2" l="1"/>
  <c r="H23" i="2"/>
  <c r="H24" i="2"/>
  <c r="H26" i="2"/>
  <c r="H27" i="2"/>
  <c r="R8" i="2"/>
  <c r="AV5" i="2"/>
  <c r="AV23" i="2"/>
  <c r="AV24" i="2"/>
  <c r="AV26" i="2"/>
  <c r="H9" i="2"/>
  <c r="R6" i="2"/>
  <c r="AB5" i="2"/>
  <c r="AL6" i="2"/>
  <c r="AL24" i="2"/>
  <c r="AL25" i="2"/>
  <c r="AL26" i="2"/>
  <c r="AL27" i="2"/>
  <c r="AL36" i="2"/>
  <c r="AL38" i="2"/>
  <c r="R34" i="2"/>
  <c r="R36" i="2"/>
  <c r="AB34" i="2"/>
  <c r="AB36" i="2"/>
  <c r="AB37" i="2"/>
  <c r="R5" i="2"/>
  <c r="H36" i="2"/>
  <c r="H39" i="2"/>
  <c r="R9" i="2"/>
  <c r="R24" i="2"/>
  <c r="R26" i="2"/>
  <c r="AB23" i="2"/>
  <c r="AB25" i="2"/>
  <c r="AB26" i="2"/>
  <c r="BZ16" i="2" l="1"/>
  <c r="E224" i="3"/>
  <c r="F224" i="3"/>
  <c r="G224" i="3"/>
  <c r="I224" i="3"/>
  <c r="J224" i="3"/>
  <c r="K224" i="3"/>
  <c r="L224" i="3"/>
  <c r="Q224" i="3"/>
  <c r="R224" i="3"/>
  <c r="S224" i="3"/>
  <c r="T224" i="3"/>
  <c r="V224" i="3"/>
  <c r="W224" i="3"/>
  <c r="X224" i="3"/>
  <c r="Z224" i="3"/>
  <c r="AA224" i="3"/>
  <c r="AB224" i="3"/>
  <c r="AC224" i="3"/>
  <c r="AE224" i="3"/>
  <c r="AF224" i="3"/>
  <c r="AG224" i="3"/>
  <c r="M224" i="3"/>
  <c r="H224" i="3"/>
  <c r="P224" i="3"/>
  <c r="Y154" i="3"/>
  <c r="X154" i="3"/>
  <c r="W154" i="3"/>
  <c r="N154" i="3"/>
  <c r="M154" i="3"/>
  <c r="L154" i="3"/>
  <c r="D154" i="3"/>
  <c r="Y124" i="3"/>
  <c r="N124" i="3"/>
  <c r="M124" i="3"/>
  <c r="Y123" i="3"/>
  <c r="N123" i="3"/>
  <c r="O224" i="3"/>
  <c r="AD224" i="3"/>
  <c r="U224" i="3"/>
  <c r="D224" i="3"/>
  <c r="E29" i="3"/>
  <c r="G29" i="3"/>
  <c r="I29" i="3"/>
  <c r="J29" i="3"/>
  <c r="K29" i="3"/>
  <c r="L29" i="3"/>
  <c r="Q29" i="3"/>
  <c r="R29" i="3"/>
  <c r="S29" i="3"/>
  <c r="T29" i="3"/>
  <c r="U29" i="3"/>
  <c r="Z29" i="3"/>
  <c r="AA29" i="3"/>
  <c r="AB29" i="3"/>
  <c r="AC29" i="3"/>
  <c r="AE29" i="3"/>
  <c r="AF29" i="3"/>
  <c r="AG29" i="3"/>
  <c r="D29" i="3"/>
  <c r="O29" i="3"/>
  <c r="Y224" i="3" l="1"/>
  <c r="AD29" i="3" l="1"/>
  <c r="P29" i="3"/>
  <c r="W29" i="3" l="1"/>
  <c r="F29" i="3"/>
  <c r="H29" i="3"/>
  <c r="Y29" i="3"/>
  <c r="V29" i="3"/>
  <c r="N29" i="3" l="1"/>
  <c r="X29" i="3"/>
  <c r="M29" i="3"/>
  <c r="Y263" i="3"/>
  <c r="N263" i="3"/>
  <c r="M263" i="3"/>
  <c r="N224" i="3" l="1"/>
  <c r="CG12" i="2" l="1"/>
  <c r="E249" i="3"/>
  <c r="F249" i="3"/>
  <c r="G249" i="3"/>
  <c r="H249" i="3"/>
  <c r="I249" i="3"/>
  <c r="J249" i="3"/>
  <c r="K249" i="3"/>
  <c r="L249" i="3"/>
  <c r="M249" i="3"/>
  <c r="O249" i="3"/>
  <c r="P249" i="3"/>
  <c r="Q249" i="3"/>
  <c r="R249" i="3"/>
  <c r="S249" i="3"/>
  <c r="T249" i="3"/>
  <c r="U249" i="3"/>
  <c r="V249" i="3"/>
  <c r="W249" i="3"/>
  <c r="X249" i="3"/>
  <c r="Y249" i="3"/>
  <c r="Z249" i="3"/>
  <c r="AA249" i="3"/>
  <c r="AB249" i="3"/>
  <c r="AC249" i="3"/>
  <c r="AD249" i="3"/>
  <c r="AE249" i="3"/>
  <c r="AF249" i="3"/>
  <c r="AG249" i="3"/>
  <c r="D249" i="3"/>
  <c r="AF278" i="3"/>
  <c r="AG278" i="3"/>
  <c r="X278" i="3"/>
  <c r="Y278" i="3"/>
  <c r="Z278" i="3"/>
  <c r="AA278" i="3"/>
  <c r="AB278" i="3"/>
  <c r="AC278" i="3"/>
  <c r="AD278" i="3"/>
  <c r="AE278" i="3"/>
  <c r="D278" i="3"/>
  <c r="E278" i="3"/>
  <c r="F278" i="3"/>
  <c r="G278" i="3"/>
  <c r="H278" i="3"/>
  <c r="I278" i="3"/>
  <c r="J278" i="3"/>
  <c r="K278" i="3"/>
  <c r="L278" i="3"/>
  <c r="M278" i="3"/>
  <c r="N278" i="3"/>
  <c r="O278" i="3"/>
  <c r="P278" i="3"/>
  <c r="Q278" i="3"/>
  <c r="R278" i="3"/>
  <c r="S278" i="3"/>
  <c r="T278" i="3"/>
  <c r="U278" i="3"/>
  <c r="V278" i="3"/>
  <c r="W278" i="3"/>
  <c r="CF12" i="2"/>
  <c r="CH12" i="2"/>
  <c r="CI12" i="2"/>
  <c r="CJ12" i="2"/>
  <c r="D168" i="3"/>
  <c r="E168" i="3"/>
  <c r="F168" i="3"/>
  <c r="G168" i="3"/>
  <c r="H168" i="3"/>
  <c r="I168" i="3"/>
  <c r="J168" i="3"/>
  <c r="K168" i="3"/>
  <c r="L168" i="3"/>
  <c r="M168" i="3"/>
  <c r="N168" i="3"/>
  <c r="O168" i="3"/>
  <c r="P168" i="3"/>
  <c r="Q168" i="3"/>
  <c r="R168" i="3"/>
  <c r="S168" i="3"/>
  <c r="T168" i="3"/>
  <c r="U168" i="3"/>
  <c r="V168" i="3"/>
  <c r="W168" i="3"/>
  <c r="X168" i="3"/>
  <c r="Y168" i="3"/>
  <c r="Z168" i="3"/>
  <c r="AA168" i="3"/>
  <c r="AB168" i="3"/>
  <c r="CU41" i="2" l="1"/>
  <c r="CP41" i="2"/>
  <c r="E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U84" i="3"/>
  <c r="V84" i="3"/>
  <c r="X84" i="3"/>
  <c r="Y84" i="3"/>
  <c r="Z84" i="3"/>
  <c r="AA84" i="3"/>
  <c r="AB84" i="3"/>
  <c r="AC84" i="3"/>
  <c r="AD84" i="3"/>
  <c r="AE84" i="3"/>
  <c r="AF84" i="3"/>
  <c r="AG84" i="3"/>
  <c r="D84" i="3"/>
  <c r="F281" i="3"/>
  <c r="G281" i="3"/>
  <c r="H281" i="3"/>
  <c r="I281" i="3"/>
  <c r="J281" i="3"/>
  <c r="M281" i="3"/>
  <c r="O281" i="3"/>
  <c r="P281" i="3"/>
  <c r="Q281" i="3"/>
  <c r="R281" i="3"/>
  <c r="S281" i="3"/>
  <c r="T281" i="3"/>
  <c r="U281" i="3"/>
  <c r="V281" i="3"/>
  <c r="W281" i="3"/>
  <c r="X281" i="3"/>
  <c r="Y281" i="3"/>
  <c r="AA281" i="3"/>
  <c r="AB281" i="3"/>
  <c r="AC281" i="3"/>
  <c r="AE281" i="3"/>
  <c r="AF281" i="3"/>
  <c r="E281" i="3"/>
  <c r="D281" i="3"/>
  <c r="W84" i="3"/>
  <c r="BN12" i="2"/>
  <c r="BQ12" i="2"/>
  <c r="BL12" i="2"/>
  <c r="Z12" i="2"/>
  <c r="AC12" i="2"/>
  <c r="X12" i="2"/>
  <c r="BB12" i="2"/>
  <c r="AT12" i="2"/>
  <c r="AW12" i="2"/>
  <c r="AR12" i="2"/>
  <c r="CU12" i="2"/>
  <c r="CP12" i="2"/>
  <c r="BW12" i="2"/>
  <c r="BX12" i="2"/>
  <c r="BY12" i="2"/>
  <c r="BZ12" i="2"/>
  <c r="CA12" i="2"/>
  <c r="BV12" i="2"/>
  <c r="I12" i="2"/>
  <c r="D12" i="2"/>
  <c r="P12" i="2"/>
  <c r="S12" i="2"/>
  <c r="N12" i="2"/>
  <c r="N249" i="3" l="1"/>
  <c r="X30" i="2"/>
  <c r="X41" i="2"/>
  <c r="BV41" i="2"/>
  <c r="BV30" i="2"/>
  <c r="BM41" i="2"/>
  <c r="BN41" i="2"/>
  <c r="BO41" i="2"/>
  <c r="BP41" i="2"/>
  <c r="BQ41" i="2"/>
  <c r="BL41" i="2"/>
  <c r="BL30" i="2"/>
  <c r="BB41" i="2"/>
  <c r="AR41" i="2"/>
  <c r="AR30" i="2"/>
  <c r="AJ12" i="2"/>
  <c r="AM12" i="2"/>
  <c r="AH12" i="2"/>
  <c r="AH30" i="2"/>
  <c r="AM41" i="2"/>
  <c r="AH41" i="2"/>
  <c r="CP30" i="2"/>
  <c r="O41" i="2"/>
  <c r="P41" i="2"/>
  <c r="Q41" i="2"/>
  <c r="R41" i="2"/>
  <c r="S41" i="2"/>
  <c r="N41" i="2"/>
  <c r="N30" i="2"/>
  <c r="D41" i="2"/>
  <c r="D30" i="2"/>
  <c r="E19" i="2"/>
  <c r="D110" i="3"/>
  <c r="E138" i="3"/>
  <c r="F138" i="3"/>
  <c r="G138" i="3"/>
  <c r="H138" i="3"/>
  <c r="I138" i="3"/>
  <c r="J138" i="3"/>
  <c r="K138" i="3"/>
  <c r="L138" i="3"/>
  <c r="M138" i="3"/>
  <c r="N138" i="3"/>
  <c r="O138" i="3"/>
  <c r="P138" i="3"/>
  <c r="Q138" i="3"/>
  <c r="R138" i="3"/>
  <c r="S138" i="3"/>
  <c r="T138" i="3"/>
  <c r="U138" i="3"/>
  <c r="V138" i="3"/>
  <c r="W138" i="3"/>
  <c r="X138" i="3"/>
  <c r="Y138" i="3"/>
  <c r="Z138" i="3"/>
  <c r="AA138" i="3"/>
  <c r="AB138" i="3"/>
  <c r="AC138" i="3"/>
  <c r="AD138" i="3"/>
  <c r="AE138" i="3"/>
  <c r="AF138" i="3"/>
  <c r="AG138" i="3"/>
  <c r="D138" i="3"/>
  <c r="D196" i="3"/>
  <c r="CK41" i="2" l="1"/>
  <c r="CF41" i="2"/>
  <c r="CG41" i="2"/>
  <c r="CH41" i="2"/>
  <c r="CI41" i="2"/>
  <c r="CJ41" i="2"/>
  <c r="H12" i="2"/>
  <c r="G12" i="2"/>
  <c r="F12" i="2"/>
  <c r="E12" i="2"/>
  <c r="AW41" i="2" l="1"/>
  <c r="O56" i="3"/>
  <c r="AV41" i="2" l="1"/>
  <c r="AU41" i="2"/>
  <c r="AT41" i="2"/>
  <c r="AS41" i="2"/>
  <c r="CG19" i="2"/>
  <c r="E196" i="3" l="1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U196" i="3"/>
  <c r="V196" i="3"/>
  <c r="W196" i="3"/>
  <c r="X196" i="3"/>
  <c r="Y196" i="3"/>
  <c r="Z196" i="3"/>
  <c r="AA196" i="3"/>
  <c r="AB196" i="3"/>
  <c r="AC196" i="3"/>
  <c r="AD196" i="3"/>
  <c r="AE196" i="3"/>
  <c r="AF196" i="3"/>
  <c r="AG196" i="3"/>
  <c r="AC168" i="3"/>
  <c r="AD168" i="3"/>
  <c r="AE168" i="3"/>
  <c r="AF168" i="3"/>
  <c r="AG168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E56" i="3"/>
  <c r="F56" i="3"/>
  <c r="G56" i="3"/>
  <c r="H56" i="3"/>
  <c r="I56" i="3"/>
  <c r="J56" i="3"/>
  <c r="K56" i="3"/>
  <c r="L56" i="3"/>
  <c r="M56" i="3"/>
  <c r="N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D56" i="3"/>
  <c r="AL41" i="2"/>
  <c r="AK41" i="2"/>
  <c r="AJ41" i="2"/>
  <c r="AI41" i="2"/>
  <c r="CQ41" i="2"/>
  <c r="CR41" i="2"/>
  <c r="CS41" i="2"/>
  <c r="CT41" i="2"/>
  <c r="I41" i="2"/>
  <c r="BG41" i="2"/>
  <c r="CA41" i="2"/>
  <c r="T280" i="3" l="1"/>
  <c r="T283" i="3" s="1"/>
  <c r="L280" i="3"/>
  <c r="L283" i="3" s="1"/>
  <c r="H280" i="3"/>
  <c r="H283" i="3" s="1"/>
  <c r="AF280" i="3"/>
  <c r="AF283" i="3" s="1"/>
  <c r="X280" i="3"/>
  <c r="X283" i="3" s="1"/>
  <c r="AB280" i="3"/>
  <c r="AB283" i="3" s="1"/>
  <c r="P280" i="3"/>
  <c r="P283" i="3" s="1"/>
  <c r="AE280" i="3"/>
  <c r="AE283" i="3" s="1"/>
  <c r="AA280" i="3"/>
  <c r="AA283" i="3" s="1"/>
  <c r="W280" i="3"/>
  <c r="W283" i="3" s="1"/>
  <c r="S280" i="3"/>
  <c r="S283" i="3" s="1"/>
  <c r="O280" i="3"/>
  <c r="O283" i="3" s="1"/>
  <c r="K280" i="3"/>
  <c r="K283" i="3" s="1"/>
  <c r="G280" i="3"/>
  <c r="G283" i="3" s="1"/>
  <c r="D280" i="3"/>
  <c r="D283" i="3" s="1"/>
  <c r="AD280" i="3"/>
  <c r="AD283" i="3" s="1"/>
  <c r="Z280" i="3"/>
  <c r="Z283" i="3" s="1"/>
  <c r="V280" i="3"/>
  <c r="V283" i="3" s="1"/>
  <c r="N280" i="3"/>
  <c r="N283" i="3" s="1"/>
  <c r="J280" i="3"/>
  <c r="J283" i="3" s="1"/>
  <c r="F280" i="3"/>
  <c r="F283" i="3" s="1"/>
  <c r="AG280" i="3"/>
  <c r="AG283" i="3" s="1"/>
  <c r="AC280" i="3"/>
  <c r="AC283" i="3" s="1"/>
  <c r="Y280" i="3"/>
  <c r="Y283" i="3" s="1"/>
  <c r="U280" i="3"/>
  <c r="U283" i="3" s="1"/>
  <c r="Q280" i="3"/>
  <c r="Q283" i="3" s="1"/>
  <c r="M280" i="3"/>
  <c r="M283" i="3" s="1"/>
  <c r="I280" i="3"/>
  <c r="I283" i="3" s="1"/>
  <c r="E280" i="3"/>
  <c r="E283" i="3" s="1"/>
  <c r="BW41" i="2"/>
  <c r="G41" i="2"/>
  <c r="BZ41" i="2"/>
  <c r="F41" i="2"/>
  <c r="BY41" i="2"/>
  <c r="BD41" i="2"/>
  <c r="E41" i="2"/>
  <c r="BX41" i="2"/>
  <c r="H41" i="2"/>
  <c r="BQ19" i="2" l="1"/>
  <c r="AL12" i="2" l="1"/>
  <c r="AK12" i="2"/>
  <c r="AI12" i="2"/>
  <c r="O30" i="2" l="1"/>
  <c r="AC41" i="2" l="1"/>
  <c r="Z41" i="2"/>
  <c r="CF30" i="2"/>
  <c r="BQ30" i="2"/>
  <c r="BP30" i="2"/>
  <c r="BO30" i="2"/>
  <c r="BN30" i="2"/>
  <c r="BM30" i="2"/>
  <c r="BY30" i="2"/>
  <c r="AC19" i="2"/>
  <c r="AB19" i="2"/>
  <c r="AA19" i="2"/>
  <c r="Z19" i="2"/>
  <c r="Y19" i="2"/>
  <c r="CK19" i="2"/>
  <c r="CH19" i="2"/>
  <c r="BD19" i="2"/>
  <c r="BC19" i="2"/>
  <c r="CI19" i="2"/>
  <c r="BE19" i="2"/>
  <c r="CK12" i="2"/>
  <c r="BG12" i="2"/>
  <c r="BP12" i="2"/>
  <c r="BO12" i="2"/>
  <c r="BM12" i="2"/>
  <c r="BX30" i="2" l="1"/>
  <c r="CK30" i="2"/>
  <c r="CK44" i="2" s="1"/>
  <c r="CU30" i="2"/>
  <c r="AB12" i="2"/>
  <c r="R12" i="2"/>
  <c r="BC41" i="2"/>
  <c r="Y12" i="2"/>
  <c r="O12" i="2"/>
  <c r="BE41" i="2"/>
  <c r="AA12" i="2"/>
  <c r="Q12" i="2"/>
  <c r="BF41" i="2"/>
  <c r="BZ30" i="2"/>
  <c r="BW30" i="2"/>
  <c r="CA30" i="2"/>
  <c r="Y41" i="2"/>
  <c r="AB30" i="2"/>
  <c r="AC30" i="2"/>
  <c r="AC44" i="2" s="1"/>
  <c r="AA41" i="2"/>
  <c r="AB41" i="2"/>
  <c r="Y30" i="2"/>
  <c r="Z30" i="2"/>
  <c r="Z44" i="2" s="1"/>
  <c r="AA30" i="2"/>
  <c r="CJ19" i="2"/>
  <c r="BF19" i="2"/>
  <c r="AA44" i="2" l="1"/>
  <c r="Y44" i="2"/>
  <c r="BE44" i="2"/>
  <c r="AB44" i="2"/>
  <c r="BD44" i="2"/>
  <c r="BF44" i="2"/>
  <c r="BC44" i="2"/>
  <c r="AV12" i="2"/>
  <c r="AU12" i="2"/>
  <c r="AS12" i="2"/>
  <c r="AT30" i="2" l="1"/>
  <c r="AL30" i="2"/>
  <c r="AV30" i="2"/>
  <c r="AK30" i="2"/>
  <c r="AU30" i="2"/>
  <c r="AS30" i="2"/>
  <c r="AM30" i="2"/>
  <c r="AW30" i="2"/>
  <c r="AI30" i="2"/>
  <c r="AJ30" i="2"/>
  <c r="AW19" i="2"/>
  <c r="AT19" i="2"/>
  <c r="AU19" i="2"/>
  <c r="AS19" i="2"/>
  <c r="AI19" i="2"/>
  <c r="AJ19" i="2"/>
  <c r="E6" i="1"/>
  <c r="C7" i="1"/>
  <c r="C6" i="1"/>
  <c r="CQ12" i="2"/>
  <c r="CR12" i="2"/>
  <c r="CS12" i="2"/>
  <c r="CT12" i="2"/>
  <c r="I30" i="2"/>
  <c r="H30" i="2"/>
  <c r="G30" i="2"/>
  <c r="F30" i="2"/>
  <c r="E30" i="2"/>
  <c r="E44" i="2" s="1"/>
  <c r="CQ30" i="2" l="1"/>
  <c r="CG30" i="2"/>
  <c r="CG44" i="2" s="1"/>
  <c r="CS30" i="2"/>
  <c r="CI30" i="2"/>
  <c r="CI44" i="2" s="1"/>
  <c r="CT30" i="2"/>
  <c r="CJ30" i="2"/>
  <c r="CJ44" i="2" s="1"/>
  <c r="CR30" i="2"/>
  <c r="CH30" i="2"/>
  <c r="CH44" i="2" s="1"/>
  <c r="AT44" i="2"/>
  <c r="AS44" i="2"/>
  <c r="AW44" i="2"/>
  <c r="AV19" i="2"/>
  <c r="AV44" i="2" s="1"/>
  <c r="AI44" i="2"/>
  <c r="AL19" i="2"/>
  <c r="AK19" i="2"/>
  <c r="AM19" i="2"/>
  <c r="S30" i="2"/>
  <c r="R30" i="2"/>
  <c r="Q30" i="2"/>
  <c r="P30" i="2"/>
  <c r="S19" i="2"/>
  <c r="R19" i="2"/>
  <c r="Q19" i="2"/>
  <c r="P19" i="2"/>
  <c r="O19" i="2"/>
  <c r="S44" i="2" l="1"/>
  <c r="AU44" i="2"/>
  <c r="AM44" i="2"/>
  <c r="AL44" i="2"/>
  <c r="AK44" i="2"/>
  <c r="AJ44" i="2"/>
  <c r="F19" i="2"/>
  <c r="G19" i="2"/>
  <c r="H19" i="2"/>
  <c r="I19" i="2"/>
  <c r="O44" i="2" l="1"/>
  <c r="R44" i="2"/>
  <c r="Q44" i="2"/>
  <c r="P44" i="2"/>
  <c r="F8" i="1"/>
  <c r="F7" i="1"/>
  <c r="F6" i="1"/>
  <c r="F5" i="1"/>
  <c r="E8" i="1"/>
  <c r="E7" i="1"/>
  <c r="E5" i="1"/>
  <c r="C8" i="1"/>
  <c r="D8" i="1"/>
  <c r="D7" i="1"/>
  <c r="D6" i="1"/>
  <c r="D5" i="1"/>
  <c r="C5" i="1"/>
  <c r="B9" i="1"/>
  <c r="CQ19" i="2"/>
  <c r="CQ44" i="2" s="1"/>
  <c r="CR19" i="2"/>
  <c r="CR44" i="2" s="1"/>
  <c r="CS19" i="2"/>
  <c r="CS44" i="2" s="1"/>
  <c r="CT19" i="2"/>
  <c r="CT44" i="2" s="1"/>
  <c r="CU19" i="2"/>
  <c r="CU44" i="2" s="1"/>
  <c r="BM19" i="2"/>
  <c r="BM44" i="2" s="1"/>
  <c r="BN19" i="2"/>
  <c r="BN44" i="2" s="1"/>
  <c r="BO19" i="2"/>
  <c r="BO44" i="2" s="1"/>
  <c r="BP19" i="2"/>
  <c r="BP44" i="2" s="1"/>
  <c r="BW19" i="2"/>
  <c r="BW44" i="2" s="1"/>
  <c r="BX19" i="2"/>
  <c r="BX44" i="2" s="1"/>
  <c r="BY19" i="2"/>
  <c r="BY44" i="2" s="1"/>
  <c r="BZ19" i="2"/>
  <c r="BZ44" i="2" s="1"/>
  <c r="CA19" i="2"/>
  <c r="CA44" i="2" s="1"/>
  <c r="F44" i="2"/>
  <c r="H44" i="2"/>
  <c r="I44" i="2"/>
  <c r="G44" i="2"/>
  <c r="R280" i="3"/>
</calcChain>
</file>

<file path=xl/sharedStrings.xml><?xml version="1.0" encoding="utf-8"?>
<sst xmlns="http://schemas.openxmlformats.org/spreadsheetml/2006/main" count="735" uniqueCount="213">
  <si>
    <t>2 завтрак</t>
  </si>
  <si>
    <t>Для детей с дневным пребываанием 12 ч</t>
  </si>
  <si>
    <t>Эц</t>
  </si>
  <si>
    <t>% в т.ч.животный</t>
  </si>
  <si>
    <t>Белок, г</t>
  </si>
  <si>
    <t>Жиры, г</t>
  </si>
  <si>
    <t>Углеводы, г</t>
  </si>
  <si>
    <t>3-7 лет</t>
  </si>
  <si>
    <t>Сан ПиН 2.4.1.3049-13</t>
  </si>
  <si>
    <t>Б</t>
  </si>
  <si>
    <t>Ж</t>
  </si>
  <si>
    <t>У</t>
  </si>
  <si>
    <t>ЭЦ</t>
  </si>
  <si>
    <t>%, распределение</t>
  </si>
  <si>
    <t>Белки</t>
  </si>
  <si>
    <t>Жиры</t>
  </si>
  <si>
    <t>Углеводы</t>
  </si>
  <si>
    <t xml:space="preserve"> Завтрак</t>
  </si>
  <si>
    <t>Обед</t>
  </si>
  <si>
    <t xml:space="preserve"> Ужин (уплотнённый полдник)</t>
  </si>
  <si>
    <t>Энергетическая ценность, ккал</t>
  </si>
  <si>
    <t>Приём пищи</t>
  </si>
  <si>
    <t>Наименование блюда</t>
  </si>
  <si>
    <t>Выход блюда, г</t>
  </si>
  <si>
    <t>Пищевые вещества</t>
  </si>
  <si>
    <t>Витамин С</t>
  </si>
  <si>
    <t>№ рецептуры</t>
  </si>
  <si>
    <t>День 1</t>
  </si>
  <si>
    <t>Завтрак</t>
  </si>
  <si>
    <t>Ужин (уплотнённый полдник)</t>
  </si>
  <si>
    <t>Норма, г, не менее</t>
  </si>
  <si>
    <t>Фактическое содержание, г</t>
  </si>
  <si>
    <t>Хлеб пшеничный</t>
  </si>
  <si>
    <t>Коржики молочные</t>
  </si>
  <si>
    <t>ИТОГО за 1 день</t>
  </si>
  <si>
    <t xml:space="preserve">Сыр российский </t>
  </si>
  <si>
    <t>Масло сливочное</t>
  </si>
  <si>
    <t>День 2</t>
  </si>
  <si>
    <t>Фрукты свежие</t>
  </si>
  <si>
    <t>Рассольник домашний</t>
  </si>
  <si>
    <t>Пюре картофельное</t>
  </si>
  <si>
    <t>Рассольник ленинградский с перловой крупой</t>
  </si>
  <si>
    <t>День 3</t>
  </si>
  <si>
    <t>День 4</t>
  </si>
  <si>
    <t>Какао с молоком</t>
  </si>
  <si>
    <t>Суп картофельный с лапшой домашней</t>
  </si>
  <si>
    <t>Картофель отварной</t>
  </si>
  <si>
    <t>*</t>
  </si>
  <si>
    <t xml:space="preserve"> Борщ со свежей капустой </t>
  </si>
  <si>
    <t>№ поСб</t>
  </si>
  <si>
    <t>Название</t>
  </si>
  <si>
    <t>Выход</t>
  </si>
  <si>
    <t>сметана</t>
  </si>
  <si>
    <t>сыр твердый</t>
  </si>
  <si>
    <t>Мясо</t>
  </si>
  <si>
    <t>Птица</t>
  </si>
  <si>
    <t>Рыба</t>
  </si>
  <si>
    <t>Яйцо</t>
  </si>
  <si>
    <t>Картофель</t>
  </si>
  <si>
    <t>творог</t>
  </si>
  <si>
    <t>молоко и кисломол</t>
  </si>
  <si>
    <t>Овощи/ зелень</t>
  </si>
  <si>
    <t>Фрукты сухие</t>
  </si>
  <si>
    <t>Соки</t>
  </si>
  <si>
    <t>Напит. витам</t>
  </si>
  <si>
    <t>Хлеб ржан</t>
  </si>
  <si>
    <t>Хлеб пшенич</t>
  </si>
  <si>
    <t>Крупы, бобовые</t>
  </si>
  <si>
    <t>Макарон. Издел</t>
  </si>
  <si>
    <t>Мука пшеничн</t>
  </si>
  <si>
    <t>Масло раст</t>
  </si>
  <si>
    <t>Кондит. Изделия</t>
  </si>
  <si>
    <t>Чай</t>
  </si>
  <si>
    <t>Какао-порошок</t>
  </si>
  <si>
    <t>Коф. Напит</t>
  </si>
  <si>
    <t>Сахар</t>
  </si>
  <si>
    <t>Дрожжи</t>
  </si>
  <si>
    <t>Крахмал</t>
  </si>
  <si>
    <t>Соль</t>
  </si>
  <si>
    <t>Масло слив</t>
  </si>
  <si>
    <t>День 5</t>
  </si>
  <si>
    <t>Салат летний</t>
  </si>
  <si>
    <t>Крендель сахарный</t>
  </si>
  <si>
    <t>День 6</t>
  </si>
  <si>
    <t>Итого</t>
  </si>
  <si>
    <t>День 7</t>
  </si>
  <si>
    <t>День 8</t>
  </si>
  <si>
    <t>День 9</t>
  </si>
  <si>
    <t>День 10</t>
  </si>
  <si>
    <t>Бутерброд с повидлом</t>
  </si>
  <si>
    <t>Щи из свежей капусты с картофелем</t>
  </si>
  <si>
    <t>Зразы куриные с омлетом и овощами</t>
  </si>
  <si>
    <t>Макароны отварные с маслом</t>
  </si>
  <si>
    <t>Пюре картофельное с морковью</t>
  </si>
  <si>
    <t>Картофель в молоке</t>
  </si>
  <si>
    <t>Кекс "Здоровье"</t>
  </si>
  <si>
    <t>Булочка "Веснушка"</t>
  </si>
  <si>
    <t>Салат из свежих помидоров и огурцов с луком репчатым</t>
  </si>
  <si>
    <t>Каша манная жидкая с сахаром</t>
  </si>
  <si>
    <t>Жаркое по-домашнему</t>
  </si>
  <si>
    <t>Шницель рубленый из говядины</t>
  </si>
  <si>
    <t xml:space="preserve">Каша овсяная жидкая с сахаром </t>
  </si>
  <si>
    <t>Суп картофельный с клецками №120</t>
  </si>
  <si>
    <t>Лапшевник с творогом</t>
  </si>
  <si>
    <t>Каша пшёная жидкая с сахаром</t>
  </si>
  <si>
    <t>Соус молочный сладкий</t>
  </si>
  <si>
    <t>Сметана</t>
  </si>
  <si>
    <t>Бефстроганов из отварной говядины с соусом № 354</t>
  </si>
  <si>
    <t>Вареники ленивые</t>
  </si>
  <si>
    <t>Птица, тущенная в соусе с овощами</t>
  </si>
  <si>
    <t>Рыба, запечённая в сметанном соусе</t>
  </si>
  <si>
    <t>ИТОГО (фактически)</t>
  </si>
  <si>
    <t>Итого (нормативное)</t>
  </si>
  <si>
    <t>Борщ с картофелем</t>
  </si>
  <si>
    <t>Кекс "Детский"</t>
  </si>
  <si>
    <t>Биточки рыбные запечённые</t>
  </si>
  <si>
    <t>Шницель рыбный натуральный</t>
  </si>
  <si>
    <t>Норма на 1 день по СанПиН</t>
  </si>
  <si>
    <t>450-550</t>
  </si>
  <si>
    <t>400-500</t>
  </si>
  <si>
    <t>350-450</t>
  </si>
  <si>
    <t xml:space="preserve">Каша рисовая жидкая </t>
  </si>
  <si>
    <t xml:space="preserve">Каша пшеничная жидкая </t>
  </si>
  <si>
    <t>Омлет паровой  с мясом</t>
  </si>
  <si>
    <t xml:space="preserve">Сыр порциями </t>
  </si>
  <si>
    <t>Овощи свежие</t>
  </si>
  <si>
    <t>Рыба  запеченная в омлете</t>
  </si>
  <si>
    <t>Биточки паровые (говядины)</t>
  </si>
  <si>
    <t>Салат из моркови с яблоками</t>
  </si>
  <si>
    <t xml:space="preserve">Сок </t>
  </si>
  <si>
    <t xml:space="preserve">Тефтели из говядины с соусом </t>
  </si>
  <si>
    <t>Отклонение (+/- 5 %)</t>
  </si>
  <si>
    <t xml:space="preserve">Овощи свежие </t>
  </si>
  <si>
    <t>Кисель из сухофруктов</t>
  </si>
  <si>
    <t xml:space="preserve">Фрукты свежие </t>
  </si>
  <si>
    <t>Овощи  свежие</t>
  </si>
  <si>
    <t>Соус фруктовый</t>
  </si>
  <si>
    <t>Компот из свежих плодов</t>
  </si>
  <si>
    <t>Запеканка из творога с морковью</t>
  </si>
  <si>
    <t>Омлет натуральный</t>
  </si>
  <si>
    <t>Субпродукты</t>
  </si>
  <si>
    <t>Яйцо вареное</t>
  </si>
  <si>
    <t>Кофейный напиток с молоком</t>
  </si>
  <si>
    <t>Суфле из печени</t>
  </si>
  <si>
    <t>Напиток кисломолочный</t>
  </si>
  <si>
    <t>Кондитерское изделие</t>
  </si>
  <si>
    <t>Хлеб ржаной/ржано-пшеничный</t>
  </si>
  <si>
    <t>Суп картофельный  с макаронными изделиями (лапшей домашней)</t>
  </si>
  <si>
    <t>Икра свекольная</t>
  </si>
  <si>
    <t xml:space="preserve">Чай с молоком              </t>
  </si>
  <si>
    <t>Салат овощной(из счежих помидоров с луком)</t>
  </si>
  <si>
    <t>Пудинг из творога с рисом запеченый</t>
  </si>
  <si>
    <t>Песочник с сухофруктами</t>
  </si>
  <si>
    <t>Молоко кипяченое</t>
  </si>
  <si>
    <t>Омлет "Сладкоежка"</t>
  </si>
  <si>
    <t xml:space="preserve">Чай с молоком                </t>
  </si>
  <si>
    <t>Кондитерское  изделие</t>
  </si>
  <si>
    <t xml:space="preserve">Суп молочный с макаронными изделиями </t>
  </si>
  <si>
    <t>Фрукты  свежий</t>
  </si>
  <si>
    <t xml:space="preserve">Овощи свещие </t>
  </si>
  <si>
    <t>Суп картофельный с бобовыми</t>
  </si>
  <si>
    <t xml:space="preserve">Тефтели из печени с рисом с соусом </t>
  </si>
  <si>
    <t xml:space="preserve">Каша рассыпчатая </t>
  </si>
  <si>
    <t xml:space="preserve">Чай с молоком                  </t>
  </si>
  <si>
    <t>130/15</t>
  </si>
  <si>
    <t xml:space="preserve">Чай с молоком               </t>
  </si>
  <si>
    <t xml:space="preserve">Суп молочный овсяный </t>
  </si>
  <si>
    <t>Пудинг из печени с морковью</t>
  </si>
  <si>
    <t xml:space="preserve"> </t>
  </si>
  <si>
    <t>Яйцо отварное</t>
  </si>
  <si>
    <t>Фрукты свежий</t>
  </si>
  <si>
    <t xml:space="preserve">Капуста, тушеная </t>
  </si>
  <si>
    <t xml:space="preserve">Рыба припущенная </t>
  </si>
  <si>
    <t xml:space="preserve">Бутерброд с сыром </t>
  </si>
  <si>
    <t>Фрукты   свежие</t>
  </si>
  <si>
    <t>Фрикадельки мясные в соусе</t>
  </si>
  <si>
    <t>Соус сметанный с томатом</t>
  </si>
  <si>
    <t>Каша рассыпчатая</t>
  </si>
  <si>
    <t>Каша рисовая жидкая с сахаром</t>
  </si>
  <si>
    <t>Кисель из свежих плодов</t>
  </si>
  <si>
    <t xml:space="preserve">Рагу овощное  с соусом </t>
  </si>
  <si>
    <t>Икра овощная</t>
  </si>
  <si>
    <t>Омлет паровой с мясом</t>
  </si>
  <si>
    <t xml:space="preserve">Плов из птицы </t>
  </si>
  <si>
    <t>Компот  из сушеных фруктов</t>
  </si>
  <si>
    <t>Суфле из отварного мяса с рисом</t>
  </si>
  <si>
    <t>Булочка творожная</t>
  </si>
  <si>
    <t>Кисель из сока</t>
  </si>
  <si>
    <t>Овощи отварные с маслом</t>
  </si>
  <si>
    <t>0.5</t>
  </si>
  <si>
    <t xml:space="preserve">Чай с сахаром                </t>
  </si>
  <si>
    <t>Суп картофельный с рыбным фрикадельками 180\30</t>
  </si>
  <si>
    <t>Котлеты рубленные из кур, запечённые с соусом молочным (№ 352)60/25</t>
  </si>
  <si>
    <t>Суп картофельный с мясными фрикадельками (из говядины № 121)180/50</t>
  </si>
  <si>
    <t>Салат из кукурузы</t>
  </si>
  <si>
    <t>Булочка "Розовая"</t>
  </si>
  <si>
    <t xml:space="preserve">Чай с молоком            </t>
  </si>
  <si>
    <t>Компот из сухофруктов</t>
  </si>
  <si>
    <t>*476</t>
  </si>
  <si>
    <t>День 1=1</t>
  </si>
  <si>
    <t>Кофейный напиток с молоком с молоком</t>
  </si>
  <si>
    <t>Сок</t>
  </si>
  <si>
    <t>День 2=3</t>
  </si>
  <si>
    <t>Салат овощной(из свежих помидоров с луком)</t>
  </si>
  <si>
    <t>День 3=2</t>
  </si>
  <si>
    <t>День 4=6</t>
  </si>
  <si>
    <t>День 5=10</t>
  </si>
  <si>
    <t>Запеканка из творога с морковью 130/15</t>
  </si>
  <si>
    <t>День 6=8</t>
  </si>
  <si>
    <t>День 7=9</t>
  </si>
  <si>
    <t>День 8=7</t>
  </si>
  <si>
    <t>День 9=4</t>
  </si>
  <si>
    <t>День 10=5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</si>
</sst>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sz val="8"/>
      <color rgb="FFFF000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7">
    <xf numFmtId="0" fontId="0" fillId="0" borderId="0" xfId="0"/>
    <xf numFmtId="0" fontId="0" fillId="0" borderId="1" xfId="0" applyBorder="1"/>
    <xf numFmtId="0" fontId="0" fillId="2" borderId="1" xfId="0" applyFill="1" applyBorder="1"/>
    <xf numFmtId="164" fontId="0" fillId="2" borderId="1" xfId="0" applyNumberFormat="1" applyFill="1" applyBorder="1"/>
    <xf numFmtId="0" fontId="4" fillId="2" borderId="1" xfId="0" applyFont="1" applyFill="1" applyBorder="1" applyAlignment="1">
      <alignment horizontal="center"/>
    </xf>
    <xf numFmtId="0" fontId="6" fillId="5" borderId="1" xfId="0" applyFont="1" applyFill="1" applyBorder="1"/>
    <xf numFmtId="0" fontId="6" fillId="2" borderId="1" xfId="0" applyFont="1" applyFill="1" applyBorder="1"/>
    <xf numFmtId="0" fontId="7" fillId="2" borderId="1" xfId="0" applyFont="1" applyFill="1" applyBorder="1"/>
    <xf numFmtId="0" fontId="7" fillId="2" borderId="1" xfId="0" applyFont="1" applyFill="1" applyBorder="1" applyAlignment="1">
      <alignment horizontal="left" indent="1"/>
    </xf>
    <xf numFmtId="0" fontId="7" fillId="2" borderId="1" xfId="0" applyFont="1" applyFill="1" applyBorder="1" applyAlignment="1">
      <alignment horizontal="right"/>
    </xf>
    <xf numFmtId="0" fontId="6" fillId="5" borderId="0" xfId="0" applyFont="1" applyFill="1"/>
    <xf numFmtId="0" fontId="7" fillId="5" borderId="6" xfId="0" applyFont="1" applyFill="1" applyBorder="1"/>
    <xf numFmtId="0" fontId="7" fillId="5" borderId="5" xfId="0" applyFont="1" applyFill="1" applyBorder="1" applyAlignment="1">
      <alignment horizontal="right"/>
    </xf>
    <xf numFmtId="0" fontId="7" fillId="5" borderId="1" xfId="0" applyFont="1" applyFill="1" applyBorder="1"/>
    <xf numFmtId="0" fontId="6" fillId="5" borderId="6" xfId="0" applyFont="1" applyFill="1" applyBorder="1"/>
    <xf numFmtId="0" fontId="7" fillId="8" borderId="1" xfId="0" applyFont="1" applyFill="1" applyBorder="1" applyAlignment="1">
      <alignment vertical="top" wrapText="1"/>
    </xf>
    <xf numFmtId="0" fontId="5" fillId="7" borderId="6" xfId="0" applyFont="1" applyFill="1" applyBorder="1"/>
    <xf numFmtId="0" fontId="5" fillId="7" borderId="5" xfId="0" applyFont="1" applyFill="1" applyBorder="1" applyAlignment="1">
      <alignment horizontal="left"/>
    </xf>
    <xf numFmtId="0" fontId="5" fillId="7" borderId="1" xfId="0" applyFont="1" applyFill="1" applyBorder="1"/>
    <xf numFmtId="0" fontId="8" fillId="2" borderId="1" xfId="0" applyFont="1" applyFill="1" applyBorder="1"/>
    <xf numFmtId="164" fontId="8" fillId="4" borderId="1" xfId="0" applyNumberFormat="1" applyFont="1" applyFill="1" applyBorder="1"/>
    <xf numFmtId="2" fontId="8" fillId="2" borderId="1" xfId="0" applyNumberFormat="1" applyFont="1" applyFill="1" applyBorder="1"/>
    <xf numFmtId="0" fontId="6" fillId="0" borderId="1" xfId="0" applyFont="1" applyFill="1" applyBorder="1"/>
    <xf numFmtId="0" fontId="3" fillId="5" borderId="1" xfId="0" applyFont="1" applyFill="1" applyBorder="1"/>
    <xf numFmtId="0" fontId="3" fillId="0" borderId="1" xfId="0" applyFont="1" applyBorder="1"/>
    <xf numFmtId="0" fontId="4" fillId="3" borderId="1" xfId="0" applyFont="1" applyFill="1" applyBorder="1" applyAlignment="1">
      <alignment horizontal="center"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horizontal="center" vertical="top" wrapText="1"/>
    </xf>
    <xf numFmtId="164" fontId="10" fillId="3" borderId="1" xfId="0" applyNumberFormat="1" applyFont="1" applyFill="1" applyBorder="1" applyAlignment="1">
      <alignment horizontal="center" vertical="top" wrapText="1"/>
    </xf>
    <xf numFmtId="0" fontId="3" fillId="4" borderId="1" xfId="0" applyFont="1" applyFill="1" applyBorder="1"/>
    <xf numFmtId="164" fontId="3" fillId="4" borderId="1" xfId="0" applyNumberFormat="1" applyFont="1" applyFill="1" applyBorder="1"/>
    <xf numFmtId="0" fontId="8" fillId="4" borderId="1" xfId="0" applyFont="1" applyFill="1" applyBorder="1"/>
    <xf numFmtId="0" fontId="4" fillId="5" borderId="1" xfId="0" applyFont="1" applyFill="1" applyBorder="1"/>
    <xf numFmtId="0" fontId="4" fillId="0" borderId="1" xfId="0" applyFont="1" applyBorder="1"/>
    <xf numFmtId="0" fontId="8" fillId="5" borderId="1" xfId="0" applyFont="1" applyFill="1" applyBorder="1"/>
    <xf numFmtId="164" fontId="3" fillId="0" borderId="1" xfId="0" applyNumberFormat="1" applyFont="1" applyBorder="1"/>
    <xf numFmtId="0" fontId="10" fillId="5" borderId="1" xfId="0" applyFont="1" applyFill="1" applyBorder="1"/>
    <xf numFmtId="0" fontId="8" fillId="5" borderId="0" xfId="0" applyFont="1" applyFill="1"/>
    <xf numFmtId="164" fontId="8" fillId="5" borderId="1" xfId="0" applyNumberFormat="1" applyFont="1" applyFill="1" applyBorder="1"/>
    <xf numFmtId="0" fontId="10" fillId="0" borderId="1" xfId="0" applyFont="1" applyBorder="1"/>
    <xf numFmtId="164" fontId="3" fillId="5" borderId="1" xfId="0" applyNumberFormat="1" applyFont="1" applyFill="1" applyBorder="1"/>
    <xf numFmtId="0" fontId="8" fillId="0" borderId="1" xfId="0" applyFont="1" applyBorder="1"/>
    <xf numFmtId="164" fontId="8" fillId="0" borderId="1" xfId="0" applyNumberFormat="1" applyFont="1" applyBorder="1"/>
    <xf numFmtId="2" fontId="8" fillId="0" borderId="1" xfId="0" applyNumberFormat="1" applyFont="1" applyBorder="1"/>
    <xf numFmtId="0" fontId="3" fillId="5" borderId="0" xfId="0" applyFont="1" applyFill="1"/>
    <xf numFmtId="0" fontId="8" fillId="5" borderId="8" xfId="0" applyFont="1" applyFill="1" applyBorder="1"/>
    <xf numFmtId="2" fontId="8" fillId="5" borderId="1" xfId="0" applyNumberFormat="1" applyFont="1" applyFill="1" applyBorder="1"/>
    <xf numFmtId="2" fontId="3" fillId="0" borderId="1" xfId="0" applyNumberFormat="1" applyFont="1" applyBorder="1"/>
    <xf numFmtId="0" fontId="8" fillId="5" borderId="1" xfId="0" applyFont="1" applyFill="1" applyBorder="1" applyAlignment="1">
      <alignment wrapText="1"/>
    </xf>
    <xf numFmtId="0" fontId="8" fillId="5" borderId="6" xfId="0" applyFont="1" applyFill="1" applyBorder="1"/>
    <xf numFmtId="0" fontId="8" fillId="5" borderId="5" xfId="0" applyFont="1" applyFill="1" applyBorder="1"/>
    <xf numFmtId="0" fontId="8" fillId="5" borderId="2" xfId="0" applyFont="1" applyFill="1" applyBorder="1"/>
    <xf numFmtId="0" fontId="3" fillId="2" borderId="1" xfId="0" applyFont="1" applyFill="1" applyBorder="1"/>
    <xf numFmtId="164" fontId="3" fillId="2" borderId="1" xfId="0" applyNumberFormat="1" applyFont="1" applyFill="1" applyBorder="1"/>
    <xf numFmtId="164" fontId="8" fillId="2" borderId="1" xfId="0" applyNumberFormat="1" applyFont="1" applyFill="1" applyBorder="1"/>
    <xf numFmtId="0" fontId="9" fillId="0" borderId="1" xfId="0" applyFont="1" applyBorder="1"/>
    <xf numFmtId="164" fontId="9" fillId="0" borderId="1" xfId="0" applyNumberFormat="1" applyFont="1" applyBorder="1"/>
    <xf numFmtId="0" fontId="9" fillId="5" borderId="1" xfId="0" applyFont="1" applyFill="1" applyBorder="1"/>
    <xf numFmtId="164" fontId="9" fillId="5" borderId="1" xfId="0" applyNumberFormat="1" applyFont="1" applyFill="1" applyBorder="1"/>
    <xf numFmtId="0" fontId="8" fillId="10" borderId="1" xfId="0" applyFont="1" applyFill="1" applyBorder="1"/>
    <xf numFmtId="2" fontId="3" fillId="5" borderId="1" xfId="0" applyNumberFormat="1" applyFont="1" applyFill="1" applyBorder="1"/>
    <xf numFmtId="2" fontId="9" fillId="5" borderId="1" xfId="0" applyNumberFormat="1" applyFont="1" applyFill="1" applyBorder="1"/>
    <xf numFmtId="0" fontId="8" fillId="5" borderId="1" xfId="0" applyFont="1" applyFill="1" applyBorder="1" applyAlignment="1"/>
    <xf numFmtId="0" fontId="8" fillId="5" borderId="3" xfId="0" applyFont="1" applyFill="1" applyBorder="1"/>
    <xf numFmtId="2" fontId="3" fillId="2" borderId="1" xfId="0" applyNumberFormat="1" applyFont="1" applyFill="1" applyBorder="1"/>
    <xf numFmtId="0" fontId="11" fillId="5" borderId="1" xfId="0" applyFont="1" applyFill="1" applyBorder="1"/>
    <xf numFmtId="164" fontId="11" fillId="5" borderId="1" xfId="0" applyNumberFormat="1" applyFont="1" applyFill="1" applyBorder="1"/>
    <xf numFmtId="164" fontId="2" fillId="5" borderId="1" xfId="0" applyNumberFormat="1" applyFont="1" applyFill="1" applyBorder="1"/>
    <xf numFmtId="2" fontId="11" fillId="5" borderId="1" xfId="0" applyNumberFormat="1" applyFont="1" applyFill="1" applyBorder="1"/>
    <xf numFmtId="0" fontId="2" fillId="5" borderId="1" xfId="0" applyFont="1" applyFill="1" applyBorder="1"/>
    <xf numFmtId="2" fontId="2" fillId="5" borderId="1" xfId="0" applyNumberFormat="1" applyFont="1" applyFill="1" applyBorder="1"/>
    <xf numFmtId="0" fontId="6" fillId="7" borderId="1" xfId="0" applyFont="1" applyFill="1" applyBorder="1"/>
    <xf numFmtId="0" fontId="6" fillId="5" borderId="1" xfId="0" applyFont="1" applyFill="1" applyBorder="1" applyAlignment="1">
      <alignment horizontal="left"/>
    </xf>
    <xf numFmtId="0" fontId="6" fillId="5" borderId="1" xfId="0" applyFont="1" applyFill="1" applyBorder="1" applyAlignment="1">
      <alignment wrapText="1"/>
    </xf>
    <xf numFmtId="0" fontId="6" fillId="5" borderId="5" xfId="0" applyFont="1" applyFill="1" applyBorder="1"/>
    <xf numFmtId="0" fontId="6" fillId="5" borderId="3" xfId="0" applyFont="1" applyFill="1" applyBorder="1"/>
    <xf numFmtId="0" fontId="6" fillId="5" borderId="5" xfId="0" applyFont="1" applyFill="1" applyBorder="1" applyAlignment="1">
      <alignment horizontal="left"/>
    </xf>
    <xf numFmtId="0" fontId="6" fillId="10" borderId="1" xfId="0" applyFont="1" applyFill="1" applyBorder="1"/>
    <xf numFmtId="0" fontId="6" fillId="10" borderId="5" xfId="0" applyFont="1" applyFill="1" applyBorder="1"/>
    <xf numFmtId="0" fontId="6" fillId="5" borderId="2" xfId="0" applyFont="1" applyFill="1" applyBorder="1"/>
    <xf numFmtId="0" fontId="6" fillId="5" borderId="1" xfId="0" applyFont="1" applyFill="1" applyBorder="1" applyAlignment="1">
      <alignment horizontal="left" indent="1"/>
    </xf>
    <xf numFmtId="0" fontId="6" fillId="0" borderId="0" xfId="0" applyFont="1" applyFill="1"/>
    <xf numFmtId="0" fontId="6" fillId="5" borderId="1" xfId="0" applyFont="1" applyFill="1" applyBorder="1" applyAlignment="1"/>
    <xf numFmtId="0" fontId="7" fillId="5" borderId="1" xfId="0" applyFont="1" applyFill="1" applyBorder="1" applyAlignment="1">
      <alignment horizontal="left" indent="1"/>
    </xf>
    <xf numFmtId="0" fontId="6" fillId="0" borderId="1" xfId="0" applyFont="1" applyFill="1" applyBorder="1" applyAlignment="1">
      <alignment wrapText="1"/>
    </xf>
    <xf numFmtId="0" fontId="7" fillId="8" borderId="1" xfId="0" applyFont="1" applyFill="1" applyBorder="1" applyAlignment="1">
      <alignment wrapText="1"/>
    </xf>
    <xf numFmtId="0" fontId="7" fillId="8" borderId="0" xfId="0" applyFont="1" applyFill="1" applyAlignment="1">
      <alignment wrapText="1"/>
    </xf>
    <xf numFmtId="0" fontId="6" fillId="7" borderId="0" xfId="0" applyFont="1" applyFill="1"/>
    <xf numFmtId="0" fontId="8" fillId="0" borderId="0" xfId="0" applyFont="1"/>
    <xf numFmtId="0" fontId="6" fillId="11" borderId="1" xfId="0" applyFont="1" applyFill="1" applyBorder="1" applyAlignment="1">
      <alignment horizontal="left"/>
    </xf>
    <xf numFmtId="0" fontId="7" fillId="2" borderId="0" xfId="0" applyFont="1" applyFill="1"/>
    <xf numFmtId="0" fontId="6" fillId="5" borderId="8" xfId="0" applyFont="1" applyFill="1" applyBorder="1"/>
    <xf numFmtId="0" fontId="6" fillId="5" borderId="0" xfId="0" applyFont="1" applyFill="1" applyBorder="1"/>
    <xf numFmtId="0" fontId="6" fillId="2" borderId="0" xfId="0" applyFont="1" applyFill="1"/>
    <xf numFmtId="0" fontId="6" fillId="10" borderId="0" xfId="0" applyFont="1" applyFill="1"/>
    <xf numFmtId="0" fontId="7" fillId="5" borderId="0" xfId="0" applyFont="1" applyFill="1"/>
    <xf numFmtId="0" fontId="7" fillId="7" borderId="0" xfId="0" applyFont="1" applyFill="1"/>
    <xf numFmtId="0" fontId="5" fillId="7" borderId="0" xfId="0" applyFont="1" applyFill="1"/>
    <xf numFmtId="0" fontId="5" fillId="7" borderId="1" xfId="0" applyFont="1" applyFill="1" applyBorder="1" applyAlignment="1">
      <alignment horizontal="left"/>
    </xf>
    <xf numFmtId="0" fontId="5" fillId="9" borderId="1" xfId="0" applyFont="1" applyFill="1" applyBorder="1"/>
    <xf numFmtId="2" fontId="5" fillId="9" borderId="1" xfId="0" applyNumberFormat="1" applyFont="1" applyFill="1" applyBorder="1"/>
    <xf numFmtId="0" fontId="5" fillId="9" borderId="0" xfId="0" applyFont="1" applyFill="1"/>
    <xf numFmtId="0" fontId="1" fillId="4" borderId="1" xfId="0" applyFont="1" applyFill="1" applyBorder="1"/>
    <xf numFmtId="0" fontId="1" fillId="0" borderId="1" xfId="0" applyFont="1" applyBorder="1"/>
    <xf numFmtId="0" fontId="1" fillId="5" borderId="1" xfId="0" applyFont="1" applyFill="1" applyBorder="1"/>
    <xf numFmtId="2" fontId="1" fillId="5" borderId="1" xfId="0" applyNumberFormat="1" applyFont="1" applyFill="1" applyBorder="1"/>
    <xf numFmtId="0" fontId="8" fillId="10" borderId="5" xfId="0" applyFont="1" applyFill="1" applyBorder="1"/>
    <xf numFmtId="0" fontId="8" fillId="5" borderId="1" xfId="0" applyFont="1" applyFill="1" applyBorder="1" applyAlignment="1">
      <alignment horizontal="right"/>
    </xf>
    <xf numFmtId="0" fontId="8" fillId="0" borderId="0" xfId="0" applyFont="1" applyFill="1"/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13" fillId="5" borderId="1" xfId="0" applyFont="1" applyFill="1" applyBorder="1"/>
    <xf numFmtId="0" fontId="10" fillId="3" borderId="1" xfId="0" applyFont="1" applyFill="1" applyBorder="1" applyAlignment="1">
      <alignment horizontal="center" vertical="top" wrapText="1"/>
    </xf>
    <xf numFmtId="164" fontId="10" fillId="3" borderId="1" xfId="0" applyNumberFormat="1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0" fontId="10" fillId="5" borderId="6" xfId="0" applyFont="1" applyFill="1" applyBorder="1" applyAlignment="1">
      <alignment horizontal="center"/>
    </xf>
    <xf numFmtId="0" fontId="10" fillId="5" borderId="4" xfId="0" applyFont="1" applyFill="1" applyBorder="1" applyAlignment="1">
      <alignment horizontal="center"/>
    </xf>
    <xf numFmtId="0" fontId="10" fillId="5" borderId="5" xfId="0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12" fillId="7" borderId="6" xfId="0" applyFont="1" applyFill="1" applyBorder="1" applyAlignment="1">
      <alignment horizontal="center" wrapText="1"/>
    </xf>
    <xf numFmtId="0" fontId="12" fillId="7" borderId="5" xfId="0" applyFont="1" applyFill="1" applyBorder="1" applyAlignment="1">
      <alignment horizontal="center" wrapText="1"/>
    </xf>
    <xf numFmtId="0" fontId="6" fillId="5" borderId="6" xfId="0" applyFont="1" applyFill="1" applyBorder="1" applyAlignment="1">
      <alignment horizontal="left"/>
    </xf>
    <xf numFmtId="0" fontId="6" fillId="5" borderId="5" xfId="0" applyFont="1" applyFill="1" applyBorder="1" applyAlignment="1">
      <alignment horizontal="left"/>
    </xf>
    <xf numFmtId="0" fontId="12" fillId="5" borderId="6" xfId="0" applyFont="1" applyFill="1" applyBorder="1" applyAlignment="1">
      <alignment horizontal="center" wrapText="1"/>
    </xf>
    <xf numFmtId="0" fontId="12" fillId="5" borderId="5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32D70B"/>
      <color rgb="FF60F53D"/>
      <color rgb="FFD79BEF"/>
      <color rgb="FF9A57CD"/>
      <color rgb="FFF364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E7" sqref="E7"/>
    </sheetView>
  </sheetViews>
  <sheetFormatPr defaultRowHeight="14.4" x14ac:dyDescent="0.3"/>
  <sheetData>
    <row r="1" spans="1:6" x14ac:dyDescent="0.3">
      <c r="A1" t="s">
        <v>8</v>
      </c>
    </row>
    <row r="2" spans="1:6" x14ac:dyDescent="0.3">
      <c r="B2" t="s">
        <v>1</v>
      </c>
    </row>
    <row r="4" spans="1:6" x14ac:dyDescent="0.3">
      <c r="A4" s="1"/>
      <c r="B4" s="1" t="s">
        <v>13</v>
      </c>
      <c r="C4" s="4" t="s">
        <v>14</v>
      </c>
      <c r="D4" s="4" t="s">
        <v>15</v>
      </c>
      <c r="E4" s="4" t="s">
        <v>16</v>
      </c>
      <c r="F4" s="4" t="s">
        <v>12</v>
      </c>
    </row>
    <row r="5" spans="1:6" x14ac:dyDescent="0.3">
      <c r="A5" s="2" t="s">
        <v>17</v>
      </c>
      <c r="B5" s="1">
        <v>25</v>
      </c>
      <c r="C5" s="3">
        <f>B12*B5/100</f>
        <v>13.5</v>
      </c>
      <c r="D5" s="3">
        <f>B5*B14/100</f>
        <v>15</v>
      </c>
      <c r="E5" s="3">
        <f>B15*B5/100</f>
        <v>65.25</v>
      </c>
      <c r="F5" s="3">
        <f>B5*1800/100</f>
        <v>450</v>
      </c>
    </row>
    <row r="6" spans="1:6" x14ac:dyDescent="0.3">
      <c r="A6" s="2" t="s">
        <v>0</v>
      </c>
      <c r="B6" s="1">
        <v>5</v>
      </c>
      <c r="C6" s="3">
        <f>B12*B6/100</f>
        <v>2.7</v>
      </c>
      <c r="D6" s="3">
        <f>B6*B14/100</f>
        <v>3</v>
      </c>
      <c r="E6" s="3">
        <f>B15*5/100</f>
        <v>13.05</v>
      </c>
      <c r="F6" s="3">
        <f>B6*1800/100</f>
        <v>90</v>
      </c>
    </row>
    <row r="7" spans="1:6" x14ac:dyDescent="0.3">
      <c r="A7" s="2" t="s">
        <v>18</v>
      </c>
      <c r="B7" s="1">
        <v>35</v>
      </c>
      <c r="C7" s="3">
        <f>B12*B7/100</f>
        <v>18.899999999999999</v>
      </c>
      <c r="D7" s="3">
        <f>B14*B7/100</f>
        <v>21</v>
      </c>
      <c r="E7" s="3">
        <f>B7*B15/100</f>
        <v>91.35</v>
      </c>
      <c r="F7" s="3">
        <f>B7*1800/100</f>
        <v>630</v>
      </c>
    </row>
    <row r="8" spans="1:6" x14ac:dyDescent="0.3">
      <c r="A8" s="2" t="s">
        <v>19</v>
      </c>
      <c r="B8" s="1">
        <v>35</v>
      </c>
      <c r="C8" s="3">
        <f>B8*B12/100</f>
        <v>18.899999999999999</v>
      </c>
      <c r="D8" s="3">
        <f>B8*B14/100</f>
        <v>21</v>
      </c>
      <c r="E8" s="3">
        <f>B8*B15/100</f>
        <v>91.35</v>
      </c>
      <c r="F8" s="3">
        <f>B8*1800/100</f>
        <v>630</v>
      </c>
    </row>
    <row r="9" spans="1:6" x14ac:dyDescent="0.3">
      <c r="B9">
        <f>SUM(B5:B8)</f>
        <v>100</v>
      </c>
    </row>
    <row r="11" spans="1:6" x14ac:dyDescent="0.3">
      <c r="B11" t="s">
        <v>7</v>
      </c>
    </row>
    <row r="12" spans="1:6" x14ac:dyDescent="0.3">
      <c r="A12" t="s">
        <v>4</v>
      </c>
      <c r="B12">
        <v>54</v>
      </c>
    </row>
    <row r="13" spans="1:6" x14ac:dyDescent="0.3">
      <c r="A13" t="s">
        <v>3</v>
      </c>
      <c r="B13">
        <v>60</v>
      </c>
    </row>
    <row r="14" spans="1:6" x14ac:dyDescent="0.3">
      <c r="A14" t="s">
        <v>5</v>
      </c>
      <c r="B14">
        <v>60</v>
      </c>
    </row>
    <row r="15" spans="1:6" x14ac:dyDescent="0.3">
      <c r="A15" t="s">
        <v>6</v>
      </c>
      <c r="B15">
        <v>261</v>
      </c>
    </row>
    <row r="16" spans="1:6" x14ac:dyDescent="0.3">
      <c r="A16" t="s">
        <v>2</v>
      </c>
      <c r="B16">
        <v>1800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F46"/>
  <sheetViews>
    <sheetView topLeftCell="CD24" zoomScaleNormal="100" workbookViewId="0">
      <selection activeCell="CM1" sqref="CM1:CU47"/>
    </sheetView>
  </sheetViews>
  <sheetFormatPr defaultColWidth="9.109375" defaultRowHeight="14.4" x14ac:dyDescent="0.3"/>
  <cols>
    <col min="1" max="1" width="4.6640625" style="24" customWidth="1"/>
    <col min="2" max="2" width="5.109375" style="24" customWidth="1"/>
    <col min="3" max="3" width="34.109375" style="24" customWidth="1"/>
    <col min="4" max="4" width="7.6640625" style="24" customWidth="1"/>
    <col min="5" max="5" width="8.88671875" style="24" customWidth="1"/>
    <col min="6" max="6" width="7.5546875" style="24" customWidth="1"/>
    <col min="7" max="7" width="6.44140625" style="35" customWidth="1"/>
    <col min="8" max="8" width="7.109375" style="35" customWidth="1"/>
    <col min="9" max="9" width="5.88671875" style="24" customWidth="1"/>
    <col min="10" max="10" width="5.33203125" style="130" customWidth="1"/>
    <col min="11" max="11" width="4.33203125" style="24" customWidth="1"/>
    <col min="12" max="12" width="5.88671875" style="24" customWidth="1"/>
    <col min="13" max="13" width="40" style="24" customWidth="1"/>
    <col min="14" max="14" width="8" style="24" customWidth="1"/>
    <col min="15" max="15" width="7.44140625" style="24" customWidth="1"/>
    <col min="16" max="16" width="5.88671875" style="24" customWidth="1"/>
    <col min="17" max="17" width="6" style="24" customWidth="1"/>
    <col min="18" max="18" width="7.6640625" style="24" customWidth="1"/>
    <col min="19" max="19" width="6.33203125" style="24" customWidth="1"/>
    <col min="20" max="20" width="5.33203125" style="130" customWidth="1"/>
    <col min="21" max="21" width="4.33203125" style="24" customWidth="1"/>
    <col min="22" max="22" width="5.109375" style="24" customWidth="1"/>
    <col min="23" max="23" width="43.6640625" style="24" customWidth="1"/>
    <col min="24" max="24" width="6.6640625" style="24" customWidth="1"/>
    <col min="25" max="25" width="5.6640625" style="24" customWidth="1"/>
    <col min="26" max="26" width="6.44140625" style="24" customWidth="1"/>
    <col min="27" max="27" width="6.6640625" style="24" customWidth="1"/>
    <col min="28" max="28" width="7" style="24" customWidth="1"/>
    <col min="29" max="29" width="6" style="24" customWidth="1"/>
    <col min="30" max="30" width="5.5546875" style="130" customWidth="1"/>
    <col min="31" max="31" width="4.6640625" style="24" customWidth="1"/>
    <col min="32" max="32" width="4.5546875" style="24" customWidth="1"/>
    <col min="33" max="33" width="42" style="24" customWidth="1"/>
    <col min="34" max="34" width="7.109375" style="24" customWidth="1"/>
    <col min="35" max="35" width="6.44140625" style="24" customWidth="1"/>
    <col min="36" max="36" width="7.109375" style="24" customWidth="1"/>
    <col min="37" max="37" width="6.109375" style="24" customWidth="1"/>
    <col min="38" max="38" width="7.109375" style="24" customWidth="1"/>
    <col min="39" max="39" width="5.88671875" style="24" customWidth="1"/>
    <col min="40" max="40" width="5.109375" style="130" customWidth="1"/>
    <col min="41" max="41" width="4.33203125" style="24" customWidth="1"/>
    <col min="42" max="42" width="5.88671875" style="24" customWidth="1"/>
    <col min="43" max="43" width="38.109375" style="24" customWidth="1"/>
    <col min="44" max="44" width="8.44140625" style="24" customWidth="1"/>
    <col min="45" max="45" width="6.109375" style="24" customWidth="1"/>
    <col min="46" max="46" width="6" style="24" customWidth="1"/>
    <col min="47" max="47" width="7.33203125" style="24" customWidth="1"/>
    <col min="48" max="48" width="7" style="24" customWidth="1"/>
    <col min="49" max="49" width="5.88671875" style="24" customWidth="1"/>
    <col min="50" max="50" width="5.44140625" style="130" customWidth="1"/>
    <col min="51" max="51" width="5.33203125" style="55" customWidth="1"/>
    <col min="52" max="52" width="5.44140625" style="55" customWidth="1"/>
    <col min="53" max="53" width="39.5546875" style="55" customWidth="1"/>
    <col min="54" max="54" width="7.44140625" style="55" customWidth="1"/>
    <col min="55" max="55" width="6.5546875" style="55" customWidth="1"/>
    <col min="56" max="56" width="5.6640625" style="55" customWidth="1"/>
    <col min="57" max="57" width="6.109375" style="55" customWidth="1"/>
    <col min="58" max="58" width="6.88671875" style="55" customWidth="1"/>
    <col min="59" max="59" width="6.44140625" style="55" customWidth="1"/>
    <col min="60" max="60" width="5.44140625" style="116" customWidth="1"/>
    <col min="61" max="61" width="5" style="24" customWidth="1"/>
    <col min="62" max="62" width="5.6640625" style="24" customWidth="1"/>
    <col min="63" max="63" width="39.44140625" style="24" customWidth="1"/>
    <col min="64" max="64" width="6.6640625" style="24" customWidth="1"/>
    <col min="65" max="65" width="6.44140625" style="24" customWidth="1"/>
    <col min="66" max="66" width="6.109375" style="24" customWidth="1"/>
    <col min="67" max="67" width="5.88671875" style="24" customWidth="1"/>
    <col min="68" max="68" width="7.33203125" style="24" customWidth="1"/>
    <col min="69" max="69" width="6" style="24" customWidth="1"/>
    <col min="70" max="70" width="5.109375" style="116" customWidth="1"/>
    <col min="71" max="71" width="5.44140625" style="24" customWidth="1"/>
    <col min="72" max="72" width="5.6640625" style="24" customWidth="1"/>
    <col min="73" max="73" width="40.109375" style="24" customWidth="1"/>
    <col min="74" max="74" width="6.6640625" style="24" customWidth="1"/>
    <col min="75" max="77" width="6.5546875" style="24" customWidth="1"/>
    <col min="78" max="78" width="6.6640625" style="24" customWidth="1"/>
    <col min="79" max="79" width="6.109375" style="24" customWidth="1"/>
    <col min="80" max="80" width="4.6640625" style="116" customWidth="1"/>
    <col min="81" max="82" width="5.44140625" style="24" customWidth="1"/>
    <col min="83" max="83" width="36.44140625" style="24" customWidth="1"/>
    <col min="84" max="84" width="7.5546875" style="24" customWidth="1"/>
    <col min="85" max="85" width="6.5546875" style="24" customWidth="1"/>
    <col min="86" max="86" width="6.109375" style="24" customWidth="1"/>
    <col min="87" max="88" width="6.6640625" style="24" customWidth="1"/>
    <col min="89" max="89" width="6.33203125" style="24" customWidth="1"/>
    <col min="90" max="90" width="5" style="116" customWidth="1"/>
    <col min="91" max="91" width="5" style="24" customWidth="1"/>
    <col min="92" max="92" width="6.109375" style="24" customWidth="1"/>
    <col min="93" max="93" width="38" style="24" customWidth="1"/>
    <col min="94" max="94" width="7.88671875" style="24" customWidth="1"/>
    <col min="95" max="95" width="5.88671875" style="24" customWidth="1"/>
    <col min="96" max="96" width="6.109375" style="24" customWidth="1"/>
    <col min="97" max="97" width="6" style="24" customWidth="1"/>
    <col min="98" max="98" width="8" style="24" customWidth="1"/>
    <col min="99" max="99" width="7.33203125" style="24" customWidth="1"/>
    <col min="100" max="100" width="4.88671875" style="130" customWidth="1"/>
    <col min="101" max="162" width="9.109375" style="23"/>
    <col min="163" max="16384" width="9.109375" style="24"/>
  </cols>
  <sheetData>
    <row r="1" spans="1:162" ht="15" customHeight="1" x14ac:dyDescent="0.3">
      <c r="A1" s="117" t="s">
        <v>21</v>
      </c>
      <c r="B1" s="117" t="s">
        <v>26</v>
      </c>
      <c r="C1" s="117" t="s">
        <v>22</v>
      </c>
      <c r="D1" s="117" t="s">
        <v>23</v>
      </c>
      <c r="E1" s="117" t="s">
        <v>24</v>
      </c>
      <c r="F1" s="117"/>
      <c r="G1" s="117"/>
      <c r="H1" s="118" t="s">
        <v>20</v>
      </c>
      <c r="I1" s="117" t="s">
        <v>25</v>
      </c>
      <c r="J1" s="128"/>
      <c r="K1" s="112" t="s">
        <v>21</v>
      </c>
      <c r="L1" s="112" t="s">
        <v>26</v>
      </c>
      <c r="M1" s="112" t="s">
        <v>22</v>
      </c>
      <c r="N1" s="112" t="s">
        <v>23</v>
      </c>
      <c r="O1" s="112" t="s">
        <v>24</v>
      </c>
      <c r="P1" s="112"/>
      <c r="Q1" s="112"/>
      <c r="R1" s="113" t="s">
        <v>20</v>
      </c>
      <c r="S1" s="112" t="s">
        <v>25</v>
      </c>
      <c r="T1" s="128"/>
      <c r="U1" s="112" t="s">
        <v>21</v>
      </c>
      <c r="V1" s="112" t="s">
        <v>26</v>
      </c>
      <c r="W1" s="112" t="s">
        <v>22</v>
      </c>
      <c r="X1" s="112" t="s">
        <v>23</v>
      </c>
      <c r="Y1" s="112" t="s">
        <v>24</v>
      </c>
      <c r="Z1" s="112"/>
      <c r="AA1" s="112"/>
      <c r="AB1" s="113" t="s">
        <v>20</v>
      </c>
      <c r="AC1" s="112" t="s">
        <v>25</v>
      </c>
      <c r="AD1" s="128"/>
      <c r="AE1" s="112" t="s">
        <v>21</v>
      </c>
      <c r="AF1" s="112" t="s">
        <v>26</v>
      </c>
      <c r="AG1" s="112" t="s">
        <v>22</v>
      </c>
      <c r="AH1" s="112" t="s">
        <v>23</v>
      </c>
      <c r="AI1" s="112" t="s">
        <v>24</v>
      </c>
      <c r="AJ1" s="112"/>
      <c r="AK1" s="112"/>
      <c r="AL1" s="113" t="s">
        <v>20</v>
      </c>
      <c r="AM1" s="112" t="s">
        <v>25</v>
      </c>
      <c r="AN1" s="128"/>
      <c r="AO1" s="112" t="s">
        <v>21</v>
      </c>
      <c r="AP1" s="112" t="s">
        <v>26</v>
      </c>
      <c r="AQ1" s="112" t="s">
        <v>22</v>
      </c>
      <c r="AR1" s="112" t="s">
        <v>23</v>
      </c>
      <c r="AS1" s="112" t="s">
        <v>24</v>
      </c>
      <c r="AT1" s="112"/>
      <c r="AU1" s="112"/>
      <c r="AV1" s="113" t="s">
        <v>20</v>
      </c>
      <c r="AW1" s="112" t="s">
        <v>25</v>
      </c>
      <c r="AX1" s="128"/>
      <c r="AY1" s="112" t="s">
        <v>21</v>
      </c>
      <c r="AZ1" s="112" t="s">
        <v>26</v>
      </c>
      <c r="BA1" s="112" t="s">
        <v>22</v>
      </c>
      <c r="BB1" s="112" t="s">
        <v>23</v>
      </c>
      <c r="BC1" s="112" t="s">
        <v>24</v>
      </c>
      <c r="BD1" s="112"/>
      <c r="BE1" s="112"/>
      <c r="BF1" s="113" t="s">
        <v>20</v>
      </c>
      <c r="BG1" s="112" t="s">
        <v>25</v>
      </c>
      <c r="BH1" s="114"/>
      <c r="BI1" s="112" t="s">
        <v>21</v>
      </c>
      <c r="BJ1" s="112" t="s">
        <v>26</v>
      </c>
      <c r="BK1" s="112" t="s">
        <v>22</v>
      </c>
      <c r="BL1" s="112" t="s">
        <v>23</v>
      </c>
      <c r="BM1" s="112" t="s">
        <v>24</v>
      </c>
      <c r="BN1" s="112"/>
      <c r="BO1" s="112"/>
      <c r="BP1" s="113" t="s">
        <v>20</v>
      </c>
      <c r="BQ1" s="112" t="s">
        <v>25</v>
      </c>
      <c r="BR1" s="114"/>
      <c r="BS1" s="112" t="s">
        <v>21</v>
      </c>
      <c r="BT1" s="112" t="s">
        <v>26</v>
      </c>
      <c r="BU1" s="112" t="s">
        <v>22</v>
      </c>
      <c r="BV1" s="112" t="s">
        <v>23</v>
      </c>
      <c r="BW1" s="112" t="s">
        <v>24</v>
      </c>
      <c r="BX1" s="112"/>
      <c r="BY1" s="112"/>
      <c r="BZ1" s="113" t="s">
        <v>20</v>
      </c>
      <c r="CA1" s="112" t="s">
        <v>25</v>
      </c>
      <c r="CB1" s="114"/>
      <c r="CC1" s="112" t="s">
        <v>21</v>
      </c>
      <c r="CD1" s="112" t="s">
        <v>26</v>
      </c>
      <c r="CE1" s="112" t="s">
        <v>22</v>
      </c>
      <c r="CF1" s="112" t="s">
        <v>23</v>
      </c>
      <c r="CG1" s="112" t="s">
        <v>24</v>
      </c>
      <c r="CH1" s="112"/>
      <c r="CI1" s="112"/>
      <c r="CJ1" s="113" t="s">
        <v>20</v>
      </c>
      <c r="CK1" s="112" t="s">
        <v>25</v>
      </c>
      <c r="CL1" s="114"/>
      <c r="CM1" s="112" t="s">
        <v>21</v>
      </c>
      <c r="CN1" s="112" t="s">
        <v>26</v>
      </c>
      <c r="CO1" s="112" t="s">
        <v>22</v>
      </c>
      <c r="CP1" s="112" t="s">
        <v>23</v>
      </c>
      <c r="CQ1" s="112" t="s">
        <v>24</v>
      </c>
      <c r="CR1" s="112"/>
      <c r="CS1" s="112"/>
      <c r="CT1" s="113" t="s">
        <v>20</v>
      </c>
      <c r="CU1" s="112" t="s">
        <v>25</v>
      </c>
      <c r="CV1" s="128"/>
    </row>
    <row r="2" spans="1:162" ht="27.75" customHeight="1" x14ac:dyDescent="0.3">
      <c r="A2" s="117"/>
      <c r="B2" s="117"/>
      <c r="C2" s="117"/>
      <c r="D2" s="117"/>
      <c r="E2" s="25" t="s">
        <v>9</v>
      </c>
      <c r="F2" s="25" t="s">
        <v>10</v>
      </c>
      <c r="G2" s="26" t="s">
        <v>11</v>
      </c>
      <c r="H2" s="118"/>
      <c r="I2" s="117"/>
      <c r="J2" s="129"/>
      <c r="K2" s="112"/>
      <c r="L2" s="112"/>
      <c r="M2" s="112"/>
      <c r="N2" s="112"/>
      <c r="O2" s="27" t="s">
        <v>9</v>
      </c>
      <c r="P2" s="27" t="s">
        <v>10</v>
      </c>
      <c r="Q2" s="28" t="s">
        <v>11</v>
      </c>
      <c r="R2" s="113"/>
      <c r="S2" s="112"/>
      <c r="T2" s="129"/>
      <c r="U2" s="112"/>
      <c r="V2" s="112"/>
      <c r="W2" s="112"/>
      <c r="X2" s="112"/>
      <c r="Y2" s="27" t="s">
        <v>9</v>
      </c>
      <c r="Z2" s="27" t="s">
        <v>10</v>
      </c>
      <c r="AA2" s="28" t="s">
        <v>11</v>
      </c>
      <c r="AB2" s="113"/>
      <c r="AC2" s="112"/>
      <c r="AD2" s="129"/>
      <c r="AE2" s="112"/>
      <c r="AF2" s="112"/>
      <c r="AG2" s="112"/>
      <c r="AH2" s="112"/>
      <c r="AI2" s="27" t="s">
        <v>9</v>
      </c>
      <c r="AJ2" s="27" t="s">
        <v>10</v>
      </c>
      <c r="AK2" s="28" t="s">
        <v>11</v>
      </c>
      <c r="AL2" s="113"/>
      <c r="AM2" s="112"/>
      <c r="AN2" s="129"/>
      <c r="AO2" s="112"/>
      <c r="AP2" s="112"/>
      <c r="AQ2" s="112"/>
      <c r="AR2" s="112"/>
      <c r="AS2" s="27" t="s">
        <v>9</v>
      </c>
      <c r="AT2" s="27" t="s">
        <v>10</v>
      </c>
      <c r="AU2" s="28" t="s">
        <v>11</v>
      </c>
      <c r="AV2" s="113"/>
      <c r="AW2" s="112"/>
      <c r="AX2" s="129"/>
      <c r="AY2" s="112"/>
      <c r="AZ2" s="112"/>
      <c r="BA2" s="112"/>
      <c r="BB2" s="112"/>
      <c r="BC2" s="27" t="s">
        <v>9</v>
      </c>
      <c r="BD2" s="27" t="s">
        <v>10</v>
      </c>
      <c r="BE2" s="28" t="s">
        <v>11</v>
      </c>
      <c r="BF2" s="113"/>
      <c r="BG2" s="112"/>
      <c r="BH2" s="115"/>
      <c r="BI2" s="112"/>
      <c r="BJ2" s="112"/>
      <c r="BK2" s="112"/>
      <c r="BL2" s="112"/>
      <c r="BM2" s="27" t="s">
        <v>9</v>
      </c>
      <c r="BN2" s="27" t="s">
        <v>10</v>
      </c>
      <c r="BO2" s="28" t="s">
        <v>11</v>
      </c>
      <c r="BP2" s="113"/>
      <c r="BQ2" s="112"/>
      <c r="BR2" s="115"/>
      <c r="BS2" s="112"/>
      <c r="BT2" s="112"/>
      <c r="BU2" s="112"/>
      <c r="BV2" s="112"/>
      <c r="BW2" s="27" t="s">
        <v>9</v>
      </c>
      <c r="BX2" s="27" t="s">
        <v>10</v>
      </c>
      <c r="BY2" s="28" t="s">
        <v>11</v>
      </c>
      <c r="BZ2" s="113"/>
      <c r="CA2" s="112"/>
      <c r="CB2" s="115"/>
      <c r="CC2" s="112"/>
      <c r="CD2" s="112"/>
      <c r="CE2" s="112"/>
      <c r="CF2" s="112"/>
      <c r="CG2" s="27" t="s">
        <v>9</v>
      </c>
      <c r="CH2" s="27" t="s">
        <v>10</v>
      </c>
      <c r="CI2" s="28" t="s">
        <v>11</v>
      </c>
      <c r="CJ2" s="113"/>
      <c r="CK2" s="112"/>
      <c r="CL2" s="115"/>
      <c r="CM2" s="112"/>
      <c r="CN2" s="112"/>
      <c r="CO2" s="112"/>
      <c r="CP2" s="112"/>
      <c r="CQ2" s="27" t="s">
        <v>9</v>
      </c>
      <c r="CR2" s="27" t="s">
        <v>10</v>
      </c>
      <c r="CS2" s="28" t="s">
        <v>11</v>
      </c>
      <c r="CT2" s="113"/>
      <c r="CU2" s="112"/>
      <c r="CV2" s="129"/>
    </row>
    <row r="3" spans="1:162" x14ac:dyDescent="0.3">
      <c r="A3" s="102" t="s">
        <v>199</v>
      </c>
      <c r="B3" s="29"/>
      <c r="C3" s="29"/>
      <c r="D3" s="29"/>
      <c r="E3" s="29"/>
      <c r="F3" s="29"/>
      <c r="G3" s="30"/>
      <c r="H3" s="30"/>
      <c r="I3" s="29"/>
      <c r="J3" s="129"/>
      <c r="K3" s="31" t="s">
        <v>202</v>
      </c>
      <c r="L3" s="31"/>
      <c r="M3" s="31"/>
      <c r="N3" s="31"/>
      <c r="O3" s="31"/>
      <c r="P3" s="31"/>
      <c r="Q3" s="20"/>
      <c r="R3" s="20"/>
      <c r="S3" s="31"/>
      <c r="T3" s="129"/>
      <c r="U3" s="31" t="s">
        <v>204</v>
      </c>
      <c r="V3" s="31"/>
      <c r="W3" s="31"/>
      <c r="X3" s="31"/>
      <c r="Y3" s="31"/>
      <c r="Z3" s="31"/>
      <c r="AA3" s="20"/>
      <c r="AB3" s="20"/>
      <c r="AC3" s="31"/>
      <c r="AD3" s="129"/>
      <c r="AE3" s="31" t="s">
        <v>205</v>
      </c>
      <c r="AF3" s="31"/>
      <c r="AG3" s="31"/>
      <c r="AH3" s="31"/>
      <c r="AI3" s="31"/>
      <c r="AJ3" s="31"/>
      <c r="AK3" s="20"/>
      <c r="AL3" s="20"/>
      <c r="AM3" s="31"/>
      <c r="AN3" s="129"/>
      <c r="AO3" s="31" t="s">
        <v>206</v>
      </c>
      <c r="AP3" s="31"/>
      <c r="AQ3" s="31"/>
      <c r="AR3" s="31"/>
      <c r="AS3" s="31"/>
      <c r="AT3" s="31"/>
      <c r="AU3" s="20"/>
      <c r="AV3" s="20"/>
      <c r="AW3" s="31"/>
      <c r="AX3" s="129"/>
      <c r="AY3" s="31" t="s">
        <v>208</v>
      </c>
      <c r="AZ3" s="31"/>
      <c r="BA3" s="31"/>
      <c r="BB3" s="31"/>
      <c r="BC3" s="31"/>
      <c r="BD3" s="31"/>
      <c r="BE3" s="20"/>
      <c r="BF3" s="20"/>
      <c r="BG3" s="31"/>
      <c r="BH3" s="115"/>
      <c r="BI3" s="31" t="s">
        <v>209</v>
      </c>
      <c r="BJ3" s="31"/>
      <c r="BK3" s="31"/>
      <c r="BL3" s="31"/>
      <c r="BM3" s="31"/>
      <c r="BN3" s="31"/>
      <c r="BO3" s="20"/>
      <c r="BP3" s="20"/>
      <c r="BQ3" s="31"/>
      <c r="BR3" s="115"/>
      <c r="BS3" s="31" t="s">
        <v>210</v>
      </c>
      <c r="BT3" s="31"/>
      <c r="BU3" s="31"/>
      <c r="BV3" s="31"/>
      <c r="BW3" s="31"/>
      <c r="BX3" s="31"/>
      <c r="BY3" s="20"/>
      <c r="BZ3" s="20"/>
      <c r="CA3" s="31"/>
      <c r="CB3" s="115"/>
      <c r="CC3" s="31" t="s">
        <v>211</v>
      </c>
      <c r="CD3" s="31"/>
      <c r="CE3" s="31"/>
      <c r="CF3" s="31"/>
      <c r="CG3" s="31"/>
      <c r="CH3" s="31"/>
      <c r="CI3" s="20"/>
      <c r="CJ3" s="20"/>
      <c r="CK3" s="31"/>
      <c r="CL3" s="115"/>
      <c r="CM3" s="31" t="s">
        <v>212</v>
      </c>
      <c r="CN3" s="31"/>
      <c r="CO3" s="31"/>
      <c r="CP3" s="31"/>
      <c r="CQ3" s="31"/>
      <c r="CR3" s="31"/>
      <c r="CS3" s="20"/>
      <c r="CT3" s="20"/>
      <c r="CU3" s="31"/>
      <c r="CV3" s="129"/>
    </row>
    <row r="4" spans="1:162" s="33" customFormat="1" x14ac:dyDescent="0.3">
      <c r="A4" s="122" t="s">
        <v>28</v>
      </c>
      <c r="B4" s="123"/>
      <c r="C4" s="123"/>
      <c r="D4" s="123"/>
      <c r="E4" s="123"/>
      <c r="F4" s="123"/>
      <c r="G4" s="123"/>
      <c r="H4" s="123"/>
      <c r="I4" s="124"/>
      <c r="J4" s="129"/>
      <c r="K4" s="119" t="s">
        <v>28</v>
      </c>
      <c r="L4" s="120"/>
      <c r="M4" s="120"/>
      <c r="N4" s="120"/>
      <c r="O4" s="120"/>
      <c r="P4" s="120"/>
      <c r="Q4" s="120"/>
      <c r="R4" s="120"/>
      <c r="S4" s="121"/>
      <c r="T4" s="129"/>
      <c r="U4" s="125" t="s">
        <v>28</v>
      </c>
      <c r="V4" s="126"/>
      <c r="W4" s="126"/>
      <c r="X4" s="126"/>
      <c r="Y4" s="126"/>
      <c r="Z4" s="126"/>
      <c r="AA4" s="126"/>
      <c r="AB4" s="126"/>
      <c r="AC4" s="127"/>
      <c r="AD4" s="129"/>
      <c r="AE4" s="125" t="s">
        <v>28</v>
      </c>
      <c r="AF4" s="126"/>
      <c r="AG4" s="126"/>
      <c r="AH4" s="126"/>
      <c r="AI4" s="126"/>
      <c r="AJ4" s="126"/>
      <c r="AK4" s="126"/>
      <c r="AL4" s="126"/>
      <c r="AM4" s="127"/>
      <c r="AN4" s="129"/>
      <c r="AO4" s="125" t="s">
        <v>28</v>
      </c>
      <c r="AP4" s="126"/>
      <c r="AQ4" s="126"/>
      <c r="AR4" s="126"/>
      <c r="AS4" s="126"/>
      <c r="AT4" s="126"/>
      <c r="AU4" s="126"/>
      <c r="AV4" s="126"/>
      <c r="AW4" s="127"/>
      <c r="AX4" s="129"/>
      <c r="AY4" s="125" t="s">
        <v>28</v>
      </c>
      <c r="AZ4" s="126"/>
      <c r="BA4" s="126"/>
      <c r="BB4" s="126"/>
      <c r="BC4" s="126"/>
      <c r="BD4" s="126"/>
      <c r="BE4" s="126"/>
      <c r="BF4" s="126"/>
      <c r="BG4" s="127"/>
      <c r="BH4" s="115"/>
      <c r="BI4" s="125" t="s">
        <v>28</v>
      </c>
      <c r="BJ4" s="126"/>
      <c r="BK4" s="126"/>
      <c r="BL4" s="126"/>
      <c r="BM4" s="126"/>
      <c r="BN4" s="126"/>
      <c r="BO4" s="126"/>
      <c r="BP4" s="126"/>
      <c r="BQ4" s="127"/>
      <c r="BR4" s="115"/>
      <c r="BS4" s="125" t="s">
        <v>28</v>
      </c>
      <c r="BT4" s="126"/>
      <c r="BU4" s="126"/>
      <c r="BV4" s="126"/>
      <c r="BW4" s="126"/>
      <c r="BX4" s="126"/>
      <c r="BY4" s="126"/>
      <c r="BZ4" s="126"/>
      <c r="CA4" s="127"/>
      <c r="CB4" s="115"/>
      <c r="CC4" s="125" t="s">
        <v>28</v>
      </c>
      <c r="CD4" s="126"/>
      <c r="CE4" s="126"/>
      <c r="CF4" s="126"/>
      <c r="CG4" s="126"/>
      <c r="CH4" s="126"/>
      <c r="CI4" s="126"/>
      <c r="CJ4" s="126"/>
      <c r="CK4" s="127"/>
      <c r="CL4" s="115"/>
      <c r="CM4" s="125" t="s">
        <v>28</v>
      </c>
      <c r="CN4" s="126"/>
      <c r="CO4" s="126"/>
      <c r="CP4" s="126"/>
      <c r="CQ4" s="126"/>
      <c r="CR4" s="126"/>
      <c r="CS4" s="126"/>
      <c r="CT4" s="126"/>
      <c r="CU4" s="127"/>
      <c r="CV4" s="129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</row>
    <row r="5" spans="1:162" s="33" customFormat="1" ht="15" customHeight="1" x14ac:dyDescent="0.3">
      <c r="B5" s="44">
        <v>185</v>
      </c>
      <c r="C5" s="23" t="s">
        <v>121</v>
      </c>
      <c r="D5" s="44">
        <v>130</v>
      </c>
      <c r="E5" s="60">
        <v>1.3</v>
      </c>
      <c r="F5" s="60">
        <v>3.2</v>
      </c>
      <c r="G5" s="70">
        <v>14.17</v>
      </c>
      <c r="H5" s="60">
        <f>G5*4+F5*9+E5*4</f>
        <v>90.68</v>
      </c>
      <c r="I5" s="60"/>
      <c r="J5" s="129"/>
      <c r="K5" s="36"/>
      <c r="L5" s="37">
        <v>185</v>
      </c>
      <c r="M5" s="34" t="s">
        <v>122</v>
      </c>
      <c r="N5" s="37">
        <v>130</v>
      </c>
      <c r="O5" s="46">
        <v>2.7</v>
      </c>
      <c r="P5" s="46">
        <v>0.98</v>
      </c>
      <c r="Q5" s="46">
        <v>24.63</v>
      </c>
      <c r="R5" s="46">
        <f>Q5*4+P5*9+O5*4</f>
        <v>118.14</v>
      </c>
      <c r="S5" s="46">
        <v>3.42</v>
      </c>
      <c r="T5" s="129"/>
      <c r="U5" s="39"/>
      <c r="V5" s="34">
        <v>185</v>
      </c>
      <c r="W5" s="34" t="s">
        <v>104</v>
      </c>
      <c r="X5" s="34">
        <v>130</v>
      </c>
      <c r="Y5" s="46">
        <v>2.86</v>
      </c>
      <c r="Z5" s="46">
        <v>0.82</v>
      </c>
      <c r="AA5" s="46">
        <v>20.6</v>
      </c>
      <c r="AB5" s="68">
        <f t="shared" ref="AB5:AB6" si="0">AA5*4+Z5*9+Y5*4</f>
        <v>101.22</v>
      </c>
      <c r="AC5" s="23">
        <v>2.86</v>
      </c>
      <c r="AD5" s="129"/>
      <c r="AE5" s="39"/>
      <c r="AF5" s="34">
        <v>7</v>
      </c>
      <c r="AG5" s="34" t="s">
        <v>124</v>
      </c>
      <c r="AH5" s="34">
        <v>8</v>
      </c>
      <c r="AI5" s="34">
        <v>1.77</v>
      </c>
      <c r="AJ5" s="34">
        <v>2.36</v>
      </c>
      <c r="AK5" s="38"/>
      <c r="AL5" s="38">
        <f>AK5*4+AJ5*9+AI5*4</f>
        <v>28.32</v>
      </c>
      <c r="AM5" s="41">
        <v>0.6</v>
      </c>
      <c r="AN5" s="129"/>
      <c r="AO5" s="39"/>
      <c r="AP5" s="34">
        <v>89</v>
      </c>
      <c r="AQ5" s="34" t="s">
        <v>166</v>
      </c>
      <c r="AR5" s="34">
        <v>100</v>
      </c>
      <c r="AS5" s="46">
        <f>34.87*150/1000</f>
        <v>5.2305000000000001</v>
      </c>
      <c r="AT5" s="46">
        <f>33.31*150/1000</f>
        <v>4.9965000000000002</v>
      </c>
      <c r="AU5" s="46">
        <f>103.5*150/1000</f>
        <v>15.525</v>
      </c>
      <c r="AV5" s="46">
        <f>AU5*4+AT5*9+AS5*4</f>
        <v>127.9905</v>
      </c>
      <c r="AW5" s="46">
        <f>5.2*150/1000</f>
        <v>0.78</v>
      </c>
      <c r="AX5" s="129"/>
      <c r="AY5" s="39"/>
      <c r="AZ5" s="34">
        <v>7</v>
      </c>
      <c r="BA5" s="34" t="s">
        <v>35</v>
      </c>
      <c r="BB5" s="34">
        <v>8</v>
      </c>
      <c r="BC5" s="46">
        <v>2.3199999999999998</v>
      </c>
      <c r="BD5" s="46">
        <v>2.95</v>
      </c>
      <c r="BE5" s="46">
        <v>0</v>
      </c>
      <c r="BF5" s="46">
        <f t="shared" ref="BF5:BF10" si="1">BE5*4+BD5*9+BC5*4</f>
        <v>35.83</v>
      </c>
      <c r="BG5" s="46"/>
      <c r="BH5" s="115"/>
      <c r="BI5" s="39"/>
      <c r="BJ5" s="34">
        <v>3</v>
      </c>
      <c r="BK5" s="34" t="s">
        <v>173</v>
      </c>
      <c r="BL5" s="34">
        <v>35</v>
      </c>
      <c r="BM5" s="34">
        <v>4.7300000000000004</v>
      </c>
      <c r="BN5" s="34">
        <v>6.88</v>
      </c>
      <c r="BO5" s="34">
        <v>14.56</v>
      </c>
      <c r="BP5" s="34">
        <f>BO5*4+BN5*9+BM5*4</f>
        <v>139.07999999999998</v>
      </c>
      <c r="BQ5" s="34">
        <v>7.0000000000000007E-2</v>
      </c>
      <c r="BR5" s="115"/>
      <c r="BS5" s="39"/>
      <c r="BT5" s="37">
        <v>7</v>
      </c>
      <c r="BU5" s="34" t="s">
        <v>35</v>
      </c>
      <c r="BV5" s="34">
        <v>10</v>
      </c>
      <c r="BW5" s="70">
        <v>2.3199999999999998</v>
      </c>
      <c r="BX5" s="70">
        <v>2.95</v>
      </c>
      <c r="BY5" s="70"/>
      <c r="BZ5" s="46">
        <f>BY5*4+BX5*9+BW5*4</f>
        <v>35.83</v>
      </c>
      <c r="CA5" s="70">
        <v>7.0000000000000007E-2</v>
      </c>
      <c r="CB5" s="115"/>
      <c r="CC5" s="39"/>
      <c r="CD5" s="34">
        <v>185</v>
      </c>
      <c r="CE5" s="34" t="s">
        <v>98</v>
      </c>
      <c r="CF5" s="34">
        <v>150</v>
      </c>
      <c r="CG5" s="46">
        <v>2.36</v>
      </c>
      <c r="CH5" s="46">
        <v>0.23</v>
      </c>
      <c r="CI5" s="46">
        <v>21</v>
      </c>
      <c r="CJ5" s="46">
        <f>CI5*4+CH5*9+CG5*4</f>
        <v>95.509999999999991</v>
      </c>
      <c r="CK5" s="43"/>
      <c r="CL5" s="115"/>
      <c r="CM5" s="39"/>
      <c r="CN5" s="34">
        <v>2</v>
      </c>
      <c r="CO5" s="34" t="s">
        <v>89</v>
      </c>
      <c r="CP5" s="34">
        <v>45</v>
      </c>
      <c r="CQ5" s="34">
        <v>2.4900000000000002</v>
      </c>
      <c r="CR5" s="34">
        <v>3.93</v>
      </c>
      <c r="CS5" s="38">
        <v>27.56</v>
      </c>
      <c r="CT5" s="34">
        <f>CS5*4+CR5*9+CQ5*4</f>
        <v>155.57000000000002</v>
      </c>
      <c r="CU5" s="46">
        <v>0.1</v>
      </c>
      <c r="CV5" s="129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</row>
    <row r="6" spans="1:162" ht="12.75" customHeight="1" x14ac:dyDescent="0.3">
      <c r="C6" s="103" t="s">
        <v>143</v>
      </c>
      <c r="D6" s="24">
        <v>60</v>
      </c>
      <c r="E6" s="24">
        <v>4.2</v>
      </c>
      <c r="F6" s="24">
        <v>6.3</v>
      </c>
      <c r="G6" s="35">
        <v>3.2</v>
      </c>
      <c r="H6" s="60">
        <f t="shared" ref="H6:H8" si="2">G6*4+F6*9+E6*4</f>
        <v>86.3</v>
      </c>
      <c r="I6" s="24">
        <v>164</v>
      </c>
      <c r="J6" s="129"/>
      <c r="K6" s="34"/>
      <c r="L6" s="45">
        <v>224</v>
      </c>
      <c r="M6" s="34" t="s">
        <v>123</v>
      </c>
      <c r="N6" s="34">
        <v>60</v>
      </c>
      <c r="O6" s="46">
        <f>8.04*60/65</f>
        <v>7.4215384615384608</v>
      </c>
      <c r="P6" s="46">
        <f>9.87*60/65</f>
        <v>9.110769230769229</v>
      </c>
      <c r="Q6" s="46">
        <f>1.26*60/65</f>
        <v>1.1630769230769229</v>
      </c>
      <c r="R6" s="46">
        <f t="shared" ref="R6:R9" si="3">Q6*4+P6*9+O6*4</f>
        <v>116.33538461538458</v>
      </c>
      <c r="S6" s="46">
        <f>0.27*60/65</f>
        <v>0.24923076923076928</v>
      </c>
      <c r="T6" s="129"/>
      <c r="U6" s="41"/>
      <c r="V6" s="34"/>
      <c r="W6" s="34" t="s">
        <v>154</v>
      </c>
      <c r="X6" s="34">
        <v>70</v>
      </c>
      <c r="Y6" s="60">
        <v>1.19</v>
      </c>
      <c r="Z6" s="60">
        <v>4.2</v>
      </c>
      <c r="AA6" s="60">
        <v>10.5</v>
      </c>
      <c r="AB6" s="68">
        <f t="shared" si="0"/>
        <v>84.560000000000016</v>
      </c>
      <c r="AC6" s="60">
        <v>0.7</v>
      </c>
      <c r="AD6" s="129"/>
      <c r="AE6" s="41"/>
      <c r="AF6" s="34">
        <v>93</v>
      </c>
      <c r="AG6" s="48" t="s">
        <v>157</v>
      </c>
      <c r="AH6" s="34">
        <v>150</v>
      </c>
      <c r="AI6" s="23">
        <v>4.3099999999999996</v>
      </c>
      <c r="AJ6" s="23">
        <v>3.91</v>
      </c>
      <c r="AK6" s="40">
        <v>14.16</v>
      </c>
      <c r="AL6" s="38">
        <f t="shared" ref="AL6:AL8" si="4">AK6*4+AJ6*9+AI6*4</f>
        <v>109.07</v>
      </c>
      <c r="AM6" s="24">
        <v>0.68</v>
      </c>
      <c r="AN6" s="129"/>
      <c r="AO6" s="41"/>
      <c r="AP6" s="34">
        <v>6</v>
      </c>
      <c r="AQ6" s="34" t="s">
        <v>36</v>
      </c>
      <c r="AR6" s="34">
        <v>5</v>
      </c>
      <c r="AS6" s="46">
        <v>0.04</v>
      </c>
      <c r="AT6" s="46">
        <v>3.6</v>
      </c>
      <c r="AU6" s="46">
        <v>0.06</v>
      </c>
      <c r="AV6" s="46">
        <f t="shared" ref="AV6:AV9" si="5">AU6*4+AT6*9+AS6*4</f>
        <v>32.799999999999997</v>
      </c>
      <c r="AW6" s="46"/>
      <c r="AX6" s="129"/>
      <c r="AY6" s="41"/>
      <c r="AZ6" s="34"/>
      <c r="BA6" s="34" t="s">
        <v>141</v>
      </c>
      <c r="BB6" s="34">
        <v>40</v>
      </c>
      <c r="BC6" s="24">
        <v>4.9000000000000004</v>
      </c>
      <c r="BD6" s="24">
        <v>4.5</v>
      </c>
      <c r="BE6" s="35">
        <v>0.3</v>
      </c>
      <c r="BF6" s="60">
        <f t="shared" si="1"/>
        <v>61.300000000000004</v>
      </c>
      <c r="BG6" s="23"/>
      <c r="BH6" s="115"/>
      <c r="BI6" s="41"/>
      <c r="BJ6" s="34">
        <v>185</v>
      </c>
      <c r="BK6" s="34" t="s">
        <v>101</v>
      </c>
      <c r="BL6" s="34">
        <v>180</v>
      </c>
      <c r="BM6" s="34">
        <v>4.2300000000000004</v>
      </c>
      <c r="BN6" s="34">
        <v>2.21</v>
      </c>
      <c r="BO6" s="38">
        <v>26.11</v>
      </c>
      <c r="BP6" s="34">
        <f t="shared" ref="BP6:BP8" si="6">BO6*4+BN6*9+BM6*4</f>
        <v>141.25</v>
      </c>
      <c r="BQ6" s="34"/>
      <c r="BR6" s="115"/>
      <c r="BS6" s="41"/>
      <c r="BT6" s="34">
        <v>185</v>
      </c>
      <c r="BU6" s="34" t="s">
        <v>178</v>
      </c>
      <c r="BV6" s="34">
        <v>180</v>
      </c>
      <c r="BW6" s="60">
        <v>1.85</v>
      </c>
      <c r="BX6" s="60">
        <v>0.27</v>
      </c>
      <c r="BY6" s="60">
        <v>25.32</v>
      </c>
      <c r="BZ6" s="46">
        <f t="shared" ref="BZ6:BZ8" si="7">BY6*4+BX6*9+BW6*4</f>
        <v>111.11000000000001</v>
      </c>
      <c r="CA6" s="60">
        <f>4.88*150/1000</f>
        <v>0.73199999999999998</v>
      </c>
      <c r="CB6" s="115"/>
      <c r="CC6" s="41"/>
      <c r="CD6" s="37">
        <v>224</v>
      </c>
      <c r="CE6" s="34" t="s">
        <v>182</v>
      </c>
      <c r="CF6" s="34">
        <v>60</v>
      </c>
      <c r="CG6" s="46">
        <v>7.41</v>
      </c>
      <c r="CH6" s="46">
        <v>9.11</v>
      </c>
      <c r="CI6" s="46">
        <v>1.1599999999999999</v>
      </c>
      <c r="CJ6" s="46">
        <f t="shared" ref="CJ6:CJ8" si="8">CI6*4+CH6*9+CG6*4</f>
        <v>116.27</v>
      </c>
      <c r="CK6" s="43">
        <v>0.24</v>
      </c>
      <c r="CL6" s="115"/>
      <c r="CM6" s="41"/>
      <c r="CN6" s="109"/>
      <c r="CO6" s="110" t="s">
        <v>185</v>
      </c>
      <c r="CP6" s="34">
        <v>80</v>
      </c>
      <c r="CQ6" s="69">
        <v>15.56</v>
      </c>
      <c r="CR6" s="69">
        <v>11.39</v>
      </c>
      <c r="CS6" s="67">
        <v>16.7</v>
      </c>
      <c r="CT6" s="34">
        <f t="shared" ref="CT6:CT9" si="9">CS6*4+CR6*9+CQ6*4</f>
        <v>231.55</v>
      </c>
      <c r="CU6" s="69"/>
      <c r="CV6" s="129"/>
    </row>
    <row r="7" spans="1:162" x14ac:dyDescent="0.3">
      <c r="B7" s="24">
        <v>213</v>
      </c>
      <c r="C7" s="103" t="s">
        <v>141</v>
      </c>
      <c r="D7" s="24">
        <v>40</v>
      </c>
      <c r="E7" s="24">
        <v>4.9000000000000004</v>
      </c>
      <c r="F7" s="24">
        <v>4.5</v>
      </c>
      <c r="G7" s="35">
        <v>0.3</v>
      </c>
      <c r="H7" s="60">
        <f t="shared" si="2"/>
        <v>61.300000000000004</v>
      </c>
      <c r="J7" s="129"/>
      <c r="K7" s="41"/>
      <c r="L7" s="49">
        <v>394</v>
      </c>
      <c r="M7" s="34" t="s">
        <v>149</v>
      </c>
      <c r="N7" s="34">
        <v>150</v>
      </c>
      <c r="O7" s="46">
        <v>2.2200000000000002</v>
      </c>
      <c r="P7" s="46">
        <v>1.95</v>
      </c>
      <c r="Q7" s="46">
        <v>11.9</v>
      </c>
      <c r="R7" s="46">
        <f t="shared" si="3"/>
        <v>74.03</v>
      </c>
      <c r="S7" s="46">
        <v>10</v>
      </c>
      <c r="T7" s="129"/>
      <c r="U7" s="41"/>
      <c r="V7" s="34">
        <v>394</v>
      </c>
      <c r="W7" s="34" t="s">
        <v>155</v>
      </c>
      <c r="X7" s="34">
        <v>180</v>
      </c>
      <c r="Y7" s="68">
        <v>2.67</v>
      </c>
      <c r="Z7" s="68">
        <v>2.34</v>
      </c>
      <c r="AA7" s="68">
        <v>14.3</v>
      </c>
      <c r="AB7" s="68">
        <f>AA7*4+Z7*9+Y7*4</f>
        <v>88.94</v>
      </c>
      <c r="AC7" s="68">
        <v>1.2</v>
      </c>
      <c r="AD7" s="129"/>
      <c r="AE7" s="41"/>
      <c r="AF7" s="34">
        <v>397</v>
      </c>
      <c r="AG7" s="34" t="s">
        <v>44</v>
      </c>
      <c r="AH7" s="34">
        <v>150</v>
      </c>
      <c r="AI7" s="34">
        <v>2.54</v>
      </c>
      <c r="AJ7" s="34">
        <v>2.2200000000000002</v>
      </c>
      <c r="AK7" s="38">
        <v>11</v>
      </c>
      <c r="AL7" s="38">
        <f t="shared" si="4"/>
        <v>74.14</v>
      </c>
      <c r="AM7" s="41">
        <v>1.19</v>
      </c>
      <c r="AN7" s="129"/>
      <c r="AO7" s="41"/>
      <c r="AP7" s="34">
        <v>238</v>
      </c>
      <c r="AQ7" s="34" t="s">
        <v>207</v>
      </c>
      <c r="AR7" s="107">
        <v>130</v>
      </c>
      <c r="AS7" s="46">
        <v>21.69</v>
      </c>
      <c r="AT7" s="46">
        <v>18.53</v>
      </c>
      <c r="AU7" s="46">
        <v>18.13</v>
      </c>
      <c r="AV7" s="46">
        <f t="shared" si="5"/>
        <v>326.05</v>
      </c>
      <c r="AW7" s="46">
        <v>1.59</v>
      </c>
      <c r="AX7" s="129"/>
      <c r="AY7" s="41"/>
      <c r="AZ7" s="34">
        <v>212</v>
      </c>
      <c r="BA7" s="34" t="s">
        <v>103</v>
      </c>
      <c r="BB7" s="34">
        <v>100</v>
      </c>
      <c r="BC7" s="46">
        <v>8.59</v>
      </c>
      <c r="BD7" s="46">
        <v>7.52</v>
      </c>
      <c r="BE7" s="46">
        <v>20.13</v>
      </c>
      <c r="BF7" s="46">
        <f t="shared" si="1"/>
        <v>182.56</v>
      </c>
      <c r="BG7" s="34">
        <v>0.08</v>
      </c>
      <c r="BH7" s="115"/>
      <c r="BI7" s="41"/>
      <c r="BJ7" s="34">
        <v>215</v>
      </c>
      <c r="BK7" s="34" t="s">
        <v>139</v>
      </c>
      <c r="BL7" s="34">
        <v>75</v>
      </c>
      <c r="BM7" s="46">
        <v>6.62</v>
      </c>
      <c r="BN7" s="46">
        <v>13.15</v>
      </c>
      <c r="BO7" s="46">
        <v>1.27</v>
      </c>
      <c r="BP7" s="34">
        <f t="shared" si="6"/>
        <v>149.91</v>
      </c>
      <c r="BQ7" s="34">
        <v>11</v>
      </c>
      <c r="BR7" s="115"/>
      <c r="BS7" s="41"/>
      <c r="BT7" s="49">
        <v>394</v>
      </c>
      <c r="BU7" s="34" t="s">
        <v>163</v>
      </c>
      <c r="BV7" s="34">
        <v>160</v>
      </c>
      <c r="BW7" s="60">
        <v>2.67</v>
      </c>
      <c r="BX7" s="60">
        <v>2.34</v>
      </c>
      <c r="BY7" s="60">
        <v>14.3</v>
      </c>
      <c r="BZ7" s="46">
        <f t="shared" si="7"/>
        <v>88.94</v>
      </c>
      <c r="CA7" s="60">
        <v>1.2</v>
      </c>
      <c r="CB7" s="115"/>
      <c r="CC7" s="41"/>
      <c r="CD7" s="49">
        <v>394</v>
      </c>
      <c r="CE7" s="34" t="s">
        <v>165</v>
      </c>
      <c r="CF7" s="34">
        <v>180</v>
      </c>
      <c r="CG7" s="46">
        <v>2.67</v>
      </c>
      <c r="CH7" s="60">
        <v>2.34</v>
      </c>
      <c r="CI7" s="60">
        <v>14.3</v>
      </c>
      <c r="CJ7" s="46">
        <f t="shared" si="8"/>
        <v>88.94</v>
      </c>
      <c r="CK7" s="47">
        <v>1.2</v>
      </c>
      <c r="CL7" s="115"/>
      <c r="CM7" s="41"/>
      <c r="CN7" s="34" t="s">
        <v>47</v>
      </c>
      <c r="CO7" s="34" t="s">
        <v>125</v>
      </c>
      <c r="CP7" s="34">
        <v>40</v>
      </c>
      <c r="CQ7" s="34">
        <v>0.32</v>
      </c>
      <c r="CR7" s="34">
        <v>0.04</v>
      </c>
      <c r="CS7" s="38">
        <v>1.1200000000000001</v>
      </c>
      <c r="CT7" s="34">
        <f t="shared" si="9"/>
        <v>6.120000000000001</v>
      </c>
      <c r="CU7" s="34"/>
      <c r="CV7" s="129"/>
    </row>
    <row r="8" spans="1:162" ht="12.75" customHeight="1" x14ac:dyDescent="0.3">
      <c r="B8" s="34">
        <v>395</v>
      </c>
      <c r="C8" s="34" t="s">
        <v>200</v>
      </c>
      <c r="D8" s="34">
        <v>180</v>
      </c>
      <c r="E8" s="46">
        <v>2.85</v>
      </c>
      <c r="F8" s="46">
        <v>2.41</v>
      </c>
      <c r="G8" s="46">
        <v>14.4</v>
      </c>
      <c r="H8" s="60">
        <f t="shared" si="2"/>
        <v>90.690000000000012</v>
      </c>
      <c r="I8" s="46">
        <v>1.17</v>
      </c>
      <c r="J8" s="129"/>
      <c r="K8" s="41"/>
      <c r="L8" s="34"/>
      <c r="M8" s="34" t="s">
        <v>146</v>
      </c>
      <c r="N8" s="34">
        <v>20</v>
      </c>
      <c r="O8" s="46">
        <v>1.32</v>
      </c>
      <c r="P8" s="46">
        <v>0.75</v>
      </c>
      <c r="Q8" s="46">
        <v>6.68</v>
      </c>
      <c r="R8" s="46">
        <f t="shared" si="3"/>
        <v>38.75</v>
      </c>
      <c r="S8" s="46"/>
      <c r="T8" s="129"/>
      <c r="U8" s="41"/>
      <c r="V8" s="34"/>
      <c r="W8" s="34" t="s">
        <v>146</v>
      </c>
      <c r="X8" s="34">
        <v>20</v>
      </c>
      <c r="Y8" s="46">
        <v>1.32</v>
      </c>
      <c r="Z8" s="46">
        <v>0.75</v>
      </c>
      <c r="AA8" s="46">
        <v>6.68</v>
      </c>
      <c r="AB8" s="46">
        <f t="shared" ref="AB8" si="10">AA8*4+Z8*9+Y8*4</f>
        <v>38.75</v>
      </c>
      <c r="AC8" s="34">
        <v>0.34</v>
      </c>
      <c r="AD8" s="129"/>
      <c r="AE8" s="41"/>
      <c r="AF8" s="34"/>
      <c r="AG8" s="34" t="s">
        <v>146</v>
      </c>
      <c r="AH8" s="34">
        <v>20</v>
      </c>
      <c r="AI8" s="46">
        <v>1.32</v>
      </c>
      <c r="AJ8" s="46">
        <v>0.75</v>
      </c>
      <c r="AK8" s="46">
        <v>6.68</v>
      </c>
      <c r="AL8" s="46">
        <f t="shared" si="4"/>
        <v>38.75</v>
      </c>
      <c r="AM8" s="41"/>
      <c r="AN8" s="129"/>
      <c r="AO8" s="41"/>
      <c r="AP8" s="34">
        <v>394</v>
      </c>
      <c r="AQ8" s="34" t="s">
        <v>165</v>
      </c>
      <c r="AR8" s="34">
        <v>160</v>
      </c>
      <c r="AS8" s="46">
        <v>2.67</v>
      </c>
      <c r="AT8" s="46">
        <v>2.34</v>
      </c>
      <c r="AU8" s="46">
        <v>14.3</v>
      </c>
      <c r="AV8" s="46">
        <f t="shared" si="5"/>
        <v>88.94</v>
      </c>
      <c r="AW8" s="46">
        <v>1.2</v>
      </c>
      <c r="AX8" s="129"/>
      <c r="AY8" s="41"/>
      <c r="AZ8" s="34">
        <v>397</v>
      </c>
      <c r="BA8" s="34" t="s">
        <v>44</v>
      </c>
      <c r="BB8" s="34">
        <v>180</v>
      </c>
      <c r="BC8" s="46">
        <v>3.06</v>
      </c>
      <c r="BD8" s="46">
        <v>2.66</v>
      </c>
      <c r="BE8" s="46">
        <v>13.2</v>
      </c>
      <c r="BF8" s="46">
        <f t="shared" si="1"/>
        <v>88.97999999999999</v>
      </c>
      <c r="BG8" s="46">
        <v>1.43</v>
      </c>
      <c r="BH8" s="115"/>
      <c r="BI8" s="41"/>
      <c r="BJ8" s="34">
        <v>395</v>
      </c>
      <c r="BK8" s="34" t="s">
        <v>142</v>
      </c>
      <c r="BL8" s="34">
        <v>150</v>
      </c>
      <c r="BM8" s="70">
        <v>2.37</v>
      </c>
      <c r="BN8" s="70">
        <v>2</v>
      </c>
      <c r="BO8" s="70">
        <v>12</v>
      </c>
      <c r="BP8" s="34">
        <f t="shared" si="6"/>
        <v>75.48</v>
      </c>
      <c r="BQ8" s="34">
        <v>0.97</v>
      </c>
      <c r="BR8" s="115"/>
      <c r="BS8" s="41"/>
      <c r="BT8" s="49"/>
      <c r="BU8" s="34" t="s">
        <v>32</v>
      </c>
      <c r="BV8" s="34">
        <v>25</v>
      </c>
      <c r="BW8" s="60">
        <v>1.97</v>
      </c>
      <c r="BX8" s="60">
        <v>0.25</v>
      </c>
      <c r="BY8" s="60">
        <v>12.07</v>
      </c>
      <c r="BZ8" s="46">
        <f t="shared" si="7"/>
        <v>58.410000000000004</v>
      </c>
      <c r="CA8" s="60">
        <v>0.54</v>
      </c>
      <c r="CB8" s="115"/>
      <c r="CC8" s="41"/>
      <c r="CD8" s="34"/>
      <c r="CE8" s="34" t="s">
        <v>32</v>
      </c>
      <c r="CF8" s="34">
        <v>25</v>
      </c>
      <c r="CG8" s="60">
        <v>1.97</v>
      </c>
      <c r="CH8" s="60">
        <v>0.25</v>
      </c>
      <c r="CI8" s="60">
        <v>12.07</v>
      </c>
      <c r="CJ8" s="46">
        <f t="shared" si="8"/>
        <v>58.410000000000004</v>
      </c>
      <c r="CK8" s="60">
        <v>0.54</v>
      </c>
      <c r="CL8" s="115"/>
      <c r="CM8" s="41"/>
      <c r="CN8" s="49">
        <v>394</v>
      </c>
      <c r="CO8" s="34" t="s">
        <v>196</v>
      </c>
      <c r="CP8" s="34">
        <v>180</v>
      </c>
      <c r="CQ8" s="46">
        <v>2.67</v>
      </c>
      <c r="CR8" s="60">
        <v>2.34</v>
      </c>
      <c r="CS8" s="60">
        <v>14.3</v>
      </c>
      <c r="CT8" s="46">
        <f t="shared" si="9"/>
        <v>88.94</v>
      </c>
      <c r="CU8" s="47">
        <v>1.2</v>
      </c>
      <c r="CV8" s="129"/>
    </row>
    <row r="9" spans="1:162" x14ac:dyDescent="0.3">
      <c r="C9" s="23" t="s">
        <v>32</v>
      </c>
      <c r="D9" s="23">
        <v>20</v>
      </c>
      <c r="E9" s="46">
        <f>7.9*20/100</f>
        <v>1.58</v>
      </c>
      <c r="F9" s="46">
        <f>1*20/100</f>
        <v>0.2</v>
      </c>
      <c r="G9" s="46">
        <f>48.3*20/100</f>
        <v>9.66</v>
      </c>
      <c r="H9" s="60">
        <f>G9*4+F9*9+E9*4</f>
        <v>46.76</v>
      </c>
      <c r="I9" s="60"/>
      <c r="J9" s="129"/>
      <c r="K9" s="41"/>
      <c r="L9" s="34"/>
      <c r="M9" s="34" t="s">
        <v>32</v>
      </c>
      <c r="N9" s="34">
        <v>30</v>
      </c>
      <c r="O9" s="46">
        <v>2.37</v>
      </c>
      <c r="P9" s="46">
        <v>0.3</v>
      </c>
      <c r="Q9" s="46">
        <v>14.49</v>
      </c>
      <c r="R9" s="46">
        <f t="shared" si="3"/>
        <v>70.14</v>
      </c>
      <c r="S9" s="46"/>
      <c r="T9" s="129"/>
      <c r="U9" s="41"/>
      <c r="V9" s="34"/>
      <c r="W9" s="23"/>
      <c r="X9" s="23"/>
      <c r="Y9" s="46"/>
      <c r="Z9" s="46"/>
      <c r="AA9" s="46"/>
      <c r="AB9" s="68"/>
      <c r="AC9" s="34"/>
      <c r="AD9" s="129"/>
      <c r="AE9" s="41"/>
      <c r="AF9" s="34"/>
      <c r="AG9" s="34" t="s">
        <v>158</v>
      </c>
      <c r="AH9" s="50">
        <v>95</v>
      </c>
      <c r="AI9" s="43">
        <v>0.4</v>
      </c>
      <c r="AJ9" s="43">
        <v>0.4</v>
      </c>
      <c r="AK9" s="43">
        <v>9.8000000000000007</v>
      </c>
      <c r="AL9" s="43">
        <v>44</v>
      </c>
      <c r="AM9" s="43">
        <v>10</v>
      </c>
      <c r="AN9" s="129"/>
      <c r="AO9" s="41"/>
      <c r="AP9" s="34"/>
      <c r="AQ9" s="34" t="s">
        <v>146</v>
      </c>
      <c r="AR9" s="34">
        <v>20</v>
      </c>
      <c r="AS9" s="46">
        <v>1.32</v>
      </c>
      <c r="AT9" s="46">
        <v>0.75</v>
      </c>
      <c r="AU9" s="46">
        <v>6.68</v>
      </c>
      <c r="AV9" s="46">
        <f t="shared" si="5"/>
        <v>38.75</v>
      </c>
      <c r="AW9" s="46"/>
      <c r="AX9" s="129"/>
      <c r="AY9" s="41"/>
      <c r="AZ9" s="34"/>
      <c r="BA9" s="34" t="s">
        <v>170</v>
      </c>
      <c r="BB9" s="34">
        <v>95</v>
      </c>
      <c r="BC9" s="46">
        <v>0.4</v>
      </c>
      <c r="BD9" s="46">
        <v>0.4</v>
      </c>
      <c r="BE9" s="46">
        <v>9.9</v>
      </c>
      <c r="BF9" s="46">
        <f t="shared" si="1"/>
        <v>44.800000000000004</v>
      </c>
      <c r="BG9" s="34">
        <v>10</v>
      </c>
      <c r="BH9" s="115"/>
      <c r="BI9" s="41"/>
      <c r="BJ9" s="50"/>
      <c r="BK9" s="37"/>
      <c r="BL9" s="51"/>
      <c r="BM9" s="41"/>
      <c r="BN9" s="41"/>
      <c r="BO9" s="42"/>
      <c r="BP9" s="42"/>
      <c r="BQ9" s="41"/>
      <c r="BR9" s="115"/>
      <c r="BS9" s="41"/>
      <c r="BT9" s="49"/>
      <c r="BU9" s="34"/>
      <c r="BV9" s="34"/>
      <c r="BW9" s="60"/>
      <c r="BX9" s="60"/>
      <c r="BY9" s="46"/>
      <c r="BZ9" s="46"/>
      <c r="CA9" s="46"/>
      <c r="CB9" s="115"/>
      <c r="CC9" s="41"/>
      <c r="CD9" s="34"/>
      <c r="CE9" s="34"/>
      <c r="CF9" s="34"/>
      <c r="CG9" s="46"/>
      <c r="CH9" s="46"/>
      <c r="CI9" s="46"/>
      <c r="CJ9" s="46"/>
      <c r="CK9" s="43"/>
      <c r="CL9" s="115"/>
      <c r="CM9" s="41"/>
      <c r="CN9" s="34"/>
      <c r="CO9" s="34" t="s">
        <v>146</v>
      </c>
      <c r="CP9" s="34">
        <v>20</v>
      </c>
      <c r="CQ9" s="46">
        <v>1.32</v>
      </c>
      <c r="CR9" s="46">
        <v>0.75</v>
      </c>
      <c r="CS9" s="46">
        <v>6.68</v>
      </c>
      <c r="CT9" s="46">
        <f t="shared" si="9"/>
        <v>38.75</v>
      </c>
      <c r="CU9" s="23"/>
      <c r="CV9" s="129"/>
    </row>
    <row r="10" spans="1:162" x14ac:dyDescent="0.3">
      <c r="B10" s="23"/>
      <c r="C10" s="23"/>
      <c r="D10" s="23"/>
      <c r="E10" s="23"/>
      <c r="F10" s="23"/>
      <c r="G10" s="40"/>
      <c r="H10" s="40"/>
      <c r="I10" s="23"/>
      <c r="J10" s="129"/>
      <c r="K10" s="41"/>
      <c r="T10" s="129"/>
      <c r="U10" s="41"/>
      <c r="V10" s="41"/>
      <c r="W10" s="41"/>
      <c r="X10" s="41"/>
      <c r="Y10" s="43"/>
      <c r="Z10" s="43"/>
      <c r="AA10" s="43"/>
      <c r="AB10" s="43"/>
      <c r="AC10" s="41"/>
      <c r="AD10" s="129"/>
      <c r="AE10" s="41"/>
      <c r="AF10" s="41"/>
      <c r="AG10" s="41"/>
      <c r="AH10" s="41"/>
      <c r="AI10" s="41"/>
      <c r="AJ10" s="41"/>
      <c r="AK10" s="41"/>
      <c r="AL10" s="41"/>
      <c r="AM10" s="41"/>
      <c r="AN10" s="129"/>
      <c r="AO10" s="41"/>
      <c r="AX10" s="129"/>
      <c r="AY10" s="41"/>
      <c r="AZ10" s="34"/>
      <c r="BA10" s="34" t="s">
        <v>32</v>
      </c>
      <c r="BB10" s="34">
        <v>30</v>
      </c>
      <c r="BC10" s="46">
        <v>2.37</v>
      </c>
      <c r="BD10" s="46">
        <v>0.3</v>
      </c>
      <c r="BE10" s="46">
        <v>14.49</v>
      </c>
      <c r="BF10" s="46">
        <f t="shared" si="1"/>
        <v>70.14</v>
      </c>
      <c r="BG10" s="46">
        <f>9.15*30/1000</f>
        <v>0.27450000000000002</v>
      </c>
      <c r="BH10" s="115"/>
      <c r="BI10" s="41"/>
      <c r="BM10" s="41"/>
      <c r="BN10" s="41"/>
      <c r="BO10" s="41"/>
      <c r="BP10" s="41"/>
      <c r="BQ10" s="41"/>
      <c r="BR10" s="115"/>
      <c r="BS10" s="41"/>
      <c r="BT10" s="41"/>
      <c r="BU10" s="41"/>
      <c r="BV10" s="41"/>
      <c r="BW10" s="43"/>
      <c r="BX10" s="43"/>
      <c r="BY10" s="43"/>
      <c r="BZ10" s="43"/>
      <c r="CA10" s="41"/>
      <c r="CB10" s="115"/>
      <c r="CC10" s="41"/>
      <c r="CD10" s="41"/>
      <c r="CE10" s="41"/>
      <c r="CF10" s="41"/>
      <c r="CG10" s="41"/>
      <c r="CH10" s="41"/>
      <c r="CI10" s="41"/>
      <c r="CJ10" s="41"/>
      <c r="CK10" s="41"/>
      <c r="CL10" s="115"/>
      <c r="CM10" s="41"/>
      <c r="CV10" s="129"/>
    </row>
    <row r="11" spans="1:162" x14ac:dyDescent="0.3">
      <c r="J11" s="129"/>
      <c r="K11" s="41"/>
      <c r="T11" s="129"/>
      <c r="U11" s="41"/>
      <c r="V11" s="41"/>
      <c r="W11" s="41"/>
      <c r="X11" s="41"/>
      <c r="Y11" s="43"/>
      <c r="Z11" s="43"/>
      <c r="AA11" s="43"/>
      <c r="AB11" s="43"/>
      <c r="AC11" s="41"/>
      <c r="AD11" s="129"/>
      <c r="AE11" s="41"/>
      <c r="AF11" s="41"/>
      <c r="AG11" s="41"/>
      <c r="AH11" s="41"/>
      <c r="AI11" s="41"/>
      <c r="AJ11" s="41"/>
      <c r="AK11" s="41"/>
      <c r="AL11" s="41"/>
      <c r="AM11" s="41"/>
      <c r="AN11" s="129"/>
      <c r="AO11" s="41"/>
      <c r="AX11" s="129"/>
      <c r="AY11" s="41"/>
      <c r="AZ11" s="41"/>
      <c r="BA11" s="41"/>
      <c r="BB11" s="41"/>
      <c r="BC11" s="41"/>
      <c r="BD11" s="41"/>
      <c r="BE11" s="41"/>
      <c r="BF11" s="41"/>
      <c r="BG11" s="41"/>
      <c r="BH11" s="115"/>
      <c r="BI11" s="41"/>
      <c r="BJ11" s="41"/>
      <c r="BK11" s="41"/>
      <c r="BL11" s="41"/>
      <c r="BM11" s="41"/>
      <c r="BN11" s="41"/>
      <c r="BO11" s="41"/>
      <c r="BP11" s="41"/>
      <c r="BQ11" s="41"/>
      <c r="BR11" s="115"/>
      <c r="BS11" s="41"/>
      <c r="BT11" s="41"/>
      <c r="BU11" s="41"/>
      <c r="BV11" s="41"/>
      <c r="BW11" s="43"/>
      <c r="BX11" s="43"/>
      <c r="BY11" s="43"/>
      <c r="BZ11" s="43"/>
      <c r="CA11" s="41"/>
      <c r="CB11" s="115"/>
      <c r="CC11" s="41"/>
      <c r="CD11" s="41"/>
      <c r="CE11" s="41"/>
      <c r="CF11" s="41"/>
      <c r="CG11" s="41"/>
      <c r="CH11" s="41"/>
      <c r="CI11" s="41"/>
      <c r="CJ11" s="41"/>
      <c r="CK11" s="41"/>
      <c r="CL11" s="115"/>
      <c r="CM11" s="41"/>
      <c r="CN11" s="41"/>
      <c r="CO11" s="41"/>
      <c r="CP11" s="41"/>
      <c r="CQ11" s="43"/>
      <c r="CR11" s="43"/>
      <c r="CS11" s="43"/>
      <c r="CT11" s="43"/>
      <c r="CU11" s="43"/>
      <c r="CV11" s="129"/>
    </row>
    <row r="12" spans="1:162" x14ac:dyDescent="0.3">
      <c r="A12" s="52" t="s">
        <v>31</v>
      </c>
      <c r="B12" s="52"/>
      <c r="C12" s="52"/>
      <c r="D12" s="53">
        <f t="shared" ref="D12:I12" si="11">SUM(D5:D10)</f>
        <v>430</v>
      </c>
      <c r="E12" s="53">
        <f t="shared" si="11"/>
        <v>14.83</v>
      </c>
      <c r="F12" s="53">
        <f t="shared" si="11"/>
        <v>16.61</v>
      </c>
      <c r="G12" s="53">
        <f t="shared" si="11"/>
        <v>41.730000000000004</v>
      </c>
      <c r="H12" s="53">
        <f t="shared" si="11"/>
        <v>375.73</v>
      </c>
      <c r="I12" s="53">
        <f t="shared" si="11"/>
        <v>165.17</v>
      </c>
      <c r="J12" s="129"/>
      <c r="K12" s="19" t="s">
        <v>31</v>
      </c>
      <c r="L12" s="19"/>
      <c r="M12" s="19"/>
      <c r="N12" s="54">
        <f t="shared" ref="N12:S12" si="12">SUM(N5:N10)</f>
        <v>390</v>
      </c>
      <c r="O12" s="54">
        <f t="shared" si="12"/>
        <v>16.03153846153846</v>
      </c>
      <c r="P12" s="54">
        <f t="shared" si="12"/>
        <v>13.090769230769229</v>
      </c>
      <c r="Q12" s="54">
        <f t="shared" si="12"/>
        <v>58.863076923076925</v>
      </c>
      <c r="R12" s="54">
        <f t="shared" si="12"/>
        <v>417.39538461538461</v>
      </c>
      <c r="S12" s="54">
        <f t="shared" si="12"/>
        <v>13.669230769230769</v>
      </c>
      <c r="T12" s="129"/>
      <c r="U12" s="19" t="s">
        <v>31</v>
      </c>
      <c r="V12" s="19"/>
      <c r="W12" s="19"/>
      <c r="X12" s="54">
        <f t="shared" ref="X12:AC12" si="13">SUM(X5:X11)</f>
        <v>400</v>
      </c>
      <c r="Y12" s="54">
        <f t="shared" si="13"/>
        <v>8.0399999999999991</v>
      </c>
      <c r="Z12" s="54">
        <f t="shared" si="13"/>
        <v>8.11</v>
      </c>
      <c r="AA12" s="54">
        <f t="shared" si="13"/>
        <v>52.080000000000005</v>
      </c>
      <c r="AB12" s="54">
        <f t="shared" si="13"/>
        <v>313.47000000000003</v>
      </c>
      <c r="AC12" s="54">
        <f t="shared" si="13"/>
        <v>5.0999999999999996</v>
      </c>
      <c r="AD12" s="129"/>
      <c r="AE12" s="19" t="s">
        <v>31</v>
      </c>
      <c r="AF12" s="19"/>
      <c r="AG12" s="19"/>
      <c r="AH12" s="54">
        <f t="shared" ref="AH12:AM12" si="14">SUM(AH5:AH10)</f>
        <v>423</v>
      </c>
      <c r="AI12" s="54">
        <f t="shared" si="14"/>
        <v>10.340000000000002</v>
      </c>
      <c r="AJ12" s="54">
        <f t="shared" si="14"/>
        <v>9.64</v>
      </c>
      <c r="AK12" s="54">
        <f t="shared" si="14"/>
        <v>41.64</v>
      </c>
      <c r="AL12" s="54">
        <f t="shared" si="14"/>
        <v>294.27999999999997</v>
      </c>
      <c r="AM12" s="54">
        <f t="shared" si="14"/>
        <v>12.469999999999999</v>
      </c>
      <c r="AN12" s="129"/>
      <c r="AO12" s="19" t="s">
        <v>31</v>
      </c>
      <c r="AP12" s="19"/>
      <c r="AQ12" s="19"/>
      <c r="AR12" s="54">
        <f>SUM(AR5:AR11)</f>
        <v>415</v>
      </c>
      <c r="AS12" s="54">
        <f t="shared" ref="AS12:AW12" si="15">SUM(AS5:AS11)</f>
        <v>30.950500000000005</v>
      </c>
      <c r="AT12" s="54">
        <f t="shared" si="15"/>
        <v>30.2165</v>
      </c>
      <c r="AU12" s="54">
        <f t="shared" si="15"/>
        <v>54.695</v>
      </c>
      <c r="AV12" s="54">
        <f t="shared" si="15"/>
        <v>614.53050000000007</v>
      </c>
      <c r="AW12" s="54">
        <f t="shared" si="15"/>
        <v>3.5700000000000003</v>
      </c>
      <c r="AX12" s="129"/>
      <c r="AY12" s="19" t="s">
        <v>31</v>
      </c>
      <c r="AZ12" s="19"/>
      <c r="BA12" s="19"/>
      <c r="BB12" s="54">
        <f>SUM(BB5:BB11)</f>
        <v>453</v>
      </c>
      <c r="BC12" s="54">
        <f>SUM(BC5:BC11)</f>
        <v>21.64</v>
      </c>
      <c r="BD12" s="54">
        <f t="shared" ref="BD12:BF12" si="16">SUM(BD5:BD11)</f>
        <v>18.329999999999998</v>
      </c>
      <c r="BE12" s="54">
        <f t="shared" si="16"/>
        <v>58.019999999999996</v>
      </c>
      <c r="BF12" s="54">
        <f t="shared" si="16"/>
        <v>483.60999999999996</v>
      </c>
      <c r="BG12" s="54">
        <f>SUM(BG5:BG9)</f>
        <v>11.51</v>
      </c>
      <c r="BH12" s="115"/>
      <c r="BI12" s="19" t="s">
        <v>31</v>
      </c>
      <c r="BJ12" s="19"/>
      <c r="BK12" s="19"/>
      <c r="BL12" s="54">
        <f>SUM(BL5:BL11)</f>
        <v>440</v>
      </c>
      <c r="BM12" s="54">
        <f t="shared" ref="BM12:BQ12" si="17">SUM(BM5:BM11)</f>
        <v>17.950000000000003</v>
      </c>
      <c r="BN12" s="54">
        <f t="shared" si="17"/>
        <v>24.240000000000002</v>
      </c>
      <c r="BO12" s="54">
        <f t="shared" si="17"/>
        <v>53.940000000000005</v>
      </c>
      <c r="BP12" s="54">
        <f t="shared" si="17"/>
        <v>505.72</v>
      </c>
      <c r="BQ12" s="54">
        <f t="shared" si="17"/>
        <v>12.040000000000001</v>
      </c>
      <c r="BR12" s="115"/>
      <c r="BS12" s="19" t="s">
        <v>31</v>
      </c>
      <c r="BT12" s="19"/>
      <c r="BU12" s="19"/>
      <c r="BV12" s="54">
        <f>SUM(BV5:BV11)</f>
        <v>375</v>
      </c>
      <c r="BW12" s="54">
        <f t="shared" ref="BW12:CA12" si="18">SUM(BW5:BW11)</f>
        <v>8.81</v>
      </c>
      <c r="BX12" s="54">
        <f t="shared" si="18"/>
        <v>5.8100000000000005</v>
      </c>
      <c r="BY12" s="54">
        <f t="shared" si="18"/>
        <v>51.690000000000005</v>
      </c>
      <c r="BZ12" s="54">
        <f t="shared" si="18"/>
        <v>294.29000000000002</v>
      </c>
      <c r="CA12" s="54">
        <f t="shared" si="18"/>
        <v>2.5419999999999998</v>
      </c>
      <c r="CB12" s="115"/>
      <c r="CC12" s="19" t="s">
        <v>31</v>
      </c>
      <c r="CD12" s="19"/>
      <c r="CE12" s="19"/>
      <c r="CF12" s="54">
        <f t="shared" ref="CF12:CI12" si="19">SUM(CF5:CF9)</f>
        <v>415</v>
      </c>
      <c r="CG12" s="54">
        <f t="shared" si="19"/>
        <v>14.41</v>
      </c>
      <c r="CH12" s="54">
        <f t="shared" si="19"/>
        <v>11.93</v>
      </c>
      <c r="CI12" s="54">
        <f t="shared" si="19"/>
        <v>48.53</v>
      </c>
      <c r="CJ12" s="54">
        <f>SUM(CJ5:CJ9)</f>
        <v>359.13</v>
      </c>
      <c r="CK12" s="54">
        <f>SUM(CU5:CU8)</f>
        <v>1.3</v>
      </c>
      <c r="CL12" s="115"/>
      <c r="CM12" s="19" t="s">
        <v>31</v>
      </c>
      <c r="CN12" s="19"/>
      <c r="CO12" s="19"/>
      <c r="CP12" s="54">
        <f t="shared" ref="CP12:CU12" si="20">SUM(CP5:CP11)</f>
        <v>365</v>
      </c>
      <c r="CQ12" s="54">
        <f t="shared" si="20"/>
        <v>22.36</v>
      </c>
      <c r="CR12" s="54">
        <f t="shared" si="20"/>
        <v>18.45</v>
      </c>
      <c r="CS12" s="54">
        <f t="shared" si="20"/>
        <v>66.359999999999985</v>
      </c>
      <c r="CT12" s="54">
        <f t="shared" si="20"/>
        <v>520.93000000000006</v>
      </c>
      <c r="CU12" s="54">
        <f t="shared" si="20"/>
        <v>1.3</v>
      </c>
      <c r="CV12" s="129"/>
    </row>
    <row r="13" spans="1:162" x14ac:dyDescent="0.3">
      <c r="A13" s="52" t="s">
        <v>30</v>
      </c>
      <c r="B13" s="52"/>
      <c r="C13" s="52"/>
      <c r="D13" s="19" t="s">
        <v>120</v>
      </c>
      <c r="E13" s="52">
        <v>10.5</v>
      </c>
      <c r="F13" s="52">
        <v>11.75</v>
      </c>
      <c r="G13" s="53">
        <v>50.75</v>
      </c>
      <c r="H13" s="53">
        <v>350</v>
      </c>
      <c r="I13" s="52"/>
      <c r="J13" s="129"/>
      <c r="K13" s="19" t="s">
        <v>30</v>
      </c>
      <c r="L13" s="19"/>
      <c r="M13" s="19"/>
      <c r="N13" s="19" t="s">
        <v>120</v>
      </c>
      <c r="O13" s="19">
        <v>10.5</v>
      </c>
      <c r="P13" s="19">
        <v>11.75</v>
      </c>
      <c r="Q13" s="54">
        <v>50.75</v>
      </c>
      <c r="R13" s="54">
        <v>350</v>
      </c>
      <c r="S13" s="19"/>
      <c r="T13" s="129"/>
      <c r="U13" s="19" t="s">
        <v>30</v>
      </c>
      <c r="V13" s="19"/>
      <c r="W13" s="19"/>
      <c r="X13" s="19" t="s">
        <v>120</v>
      </c>
      <c r="Y13" s="19">
        <v>10.5</v>
      </c>
      <c r="Z13" s="19">
        <v>11.75</v>
      </c>
      <c r="AA13" s="54">
        <v>50.75</v>
      </c>
      <c r="AB13" s="54">
        <v>350</v>
      </c>
      <c r="AC13" s="19"/>
      <c r="AD13" s="129"/>
      <c r="AE13" s="19" t="s">
        <v>30</v>
      </c>
      <c r="AF13" s="19"/>
      <c r="AG13" s="19"/>
      <c r="AH13" s="19" t="s">
        <v>120</v>
      </c>
      <c r="AI13" s="19">
        <v>10.5</v>
      </c>
      <c r="AJ13" s="19">
        <v>11.75</v>
      </c>
      <c r="AK13" s="54">
        <v>50.75</v>
      </c>
      <c r="AL13" s="54">
        <v>350</v>
      </c>
      <c r="AM13" s="19"/>
      <c r="AN13" s="129"/>
      <c r="AO13" s="19" t="s">
        <v>30</v>
      </c>
      <c r="AP13" s="19"/>
      <c r="AQ13" s="19"/>
      <c r="AR13" s="19" t="s">
        <v>120</v>
      </c>
      <c r="AS13" s="19">
        <v>10.5</v>
      </c>
      <c r="AT13" s="19">
        <v>11.75</v>
      </c>
      <c r="AU13" s="54">
        <v>50.75</v>
      </c>
      <c r="AV13" s="54">
        <v>350</v>
      </c>
      <c r="AW13" s="19"/>
      <c r="AX13" s="129"/>
      <c r="AY13" s="19" t="s">
        <v>30</v>
      </c>
      <c r="AZ13" s="19"/>
      <c r="BA13" s="19"/>
      <c r="BB13" s="19" t="s">
        <v>120</v>
      </c>
      <c r="BC13" s="19">
        <v>10.5</v>
      </c>
      <c r="BD13" s="19">
        <v>11.75</v>
      </c>
      <c r="BE13" s="54">
        <v>50.75</v>
      </c>
      <c r="BF13" s="54">
        <v>350</v>
      </c>
      <c r="BG13" s="19"/>
      <c r="BH13" s="115"/>
      <c r="BI13" s="19" t="s">
        <v>30</v>
      </c>
      <c r="BJ13" s="19"/>
      <c r="BK13" s="19"/>
      <c r="BL13" s="19" t="s">
        <v>120</v>
      </c>
      <c r="BM13" s="19">
        <v>10.5</v>
      </c>
      <c r="BN13" s="19">
        <v>11.75</v>
      </c>
      <c r="BO13" s="54">
        <v>50.75</v>
      </c>
      <c r="BP13" s="54">
        <v>350</v>
      </c>
      <c r="BQ13" s="19"/>
      <c r="BR13" s="115"/>
      <c r="BS13" s="19" t="s">
        <v>30</v>
      </c>
      <c r="BT13" s="19"/>
      <c r="BU13" s="19"/>
      <c r="BV13" s="19" t="s">
        <v>120</v>
      </c>
      <c r="BW13" s="19">
        <v>10.5</v>
      </c>
      <c r="BX13" s="19">
        <v>11.75</v>
      </c>
      <c r="BY13" s="54">
        <v>50.75</v>
      </c>
      <c r="BZ13" s="54">
        <v>350</v>
      </c>
      <c r="CA13" s="19"/>
      <c r="CB13" s="115"/>
      <c r="CC13" s="19" t="s">
        <v>30</v>
      </c>
      <c r="CD13" s="19"/>
      <c r="CE13" s="19"/>
      <c r="CF13" s="19" t="s">
        <v>120</v>
      </c>
      <c r="CG13" s="19">
        <v>10.5</v>
      </c>
      <c r="CH13" s="19">
        <v>11.75</v>
      </c>
      <c r="CI13" s="54">
        <v>50.75</v>
      </c>
      <c r="CJ13" s="54">
        <v>350</v>
      </c>
      <c r="CK13" s="19"/>
      <c r="CL13" s="115"/>
      <c r="CM13" s="19" t="s">
        <v>30</v>
      </c>
      <c r="CN13" s="19"/>
      <c r="CO13" s="19"/>
      <c r="CP13" s="19" t="s">
        <v>120</v>
      </c>
      <c r="CQ13" s="19">
        <v>10.5</v>
      </c>
      <c r="CR13" s="19">
        <v>11.75</v>
      </c>
      <c r="CS13" s="54">
        <v>50.75</v>
      </c>
      <c r="CT13" s="54">
        <v>350</v>
      </c>
      <c r="CU13" s="19"/>
      <c r="CV13" s="129"/>
    </row>
    <row r="14" spans="1:162" x14ac:dyDescent="0.3">
      <c r="J14" s="129"/>
      <c r="K14" s="55"/>
      <c r="L14" s="55"/>
      <c r="M14" s="55"/>
      <c r="N14" s="55"/>
      <c r="O14" s="55"/>
      <c r="P14" s="55"/>
      <c r="Q14" s="56"/>
      <c r="R14" s="56"/>
      <c r="S14" s="55"/>
      <c r="T14" s="129"/>
      <c r="U14" s="41"/>
      <c r="V14" s="41"/>
      <c r="W14" s="41"/>
      <c r="X14" s="41"/>
      <c r="Y14" s="41"/>
      <c r="Z14" s="41"/>
      <c r="AA14" s="42"/>
      <c r="AB14" s="42"/>
      <c r="AC14" s="41"/>
      <c r="AD14" s="129"/>
      <c r="AE14" s="41"/>
      <c r="AF14" s="41"/>
      <c r="AG14" s="41"/>
      <c r="AH14" s="41"/>
      <c r="AI14" s="41"/>
      <c r="AJ14" s="41"/>
      <c r="AK14" s="42"/>
      <c r="AL14" s="42"/>
      <c r="AM14" s="41"/>
      <c r="AN14" s="129"/>
      <c r="AO14" s="41"/>
      <c r="AP14" s="41"/>
      <c r="AQ14" s="41"/>
      <c r="AR14" s="41"/>
      <c r="AS14" s="41"/>
      <c r="AT14" s="41"/>
      <c r="AU14" s="42"/>
      <c r="AV14" s="42"/>
      <c r="AW14" s="41"/>
      <c r="AX14" s="129"/>
      <c r="AY14" s="41"/>
      <c r="AZ14" s="41"/>
      <c r="BA14" s="41"/>
      <c r="BB14" s="41"/>
      <c r="BC14" s="41"/>
      <c r="BD14" s="41"/>
      <c r="BE14" s="42"/>
      <c r="BF14" s="42"/>
      <c r="BG14" s="41"/>
      <c r="BH14" s="115"/>
      <c r="BI14" s="41"/>
      <c r="BJ14" s="41"/>
      <c r="BK14" s="41"/>
      <c r="BL14" s="41"/>
      <c r="BM14" s="41"/>
      <c r="BN14" s="41"/>
      <c r="BO14" s="42"/>
      <c r="BP14" s="42"/>
      <c r="BQ14" s="41"/>
      <c r="BR14" s="115"/>
      <c r="BS14" s="41"/>
      <c r="BT14" s="41"/>
      <c r="BU14" s="41"/>
      <c r="BV14" s="41"/>
      <c r="BW14" s="41"/>
      <c r="BX14" s="41"/>
      <c r="BY14" s="42"/>
      <c r="BZ14" s="42"/>
      <c r="CA14" s="41"/>
      <c r="CB14" s="115"/>
      <c r="CC14" s="41"/>
      <c r="CD14" s="41"/>
      <c r="CE14" s="41"/>
      <c r="CF14" s="41"/>
      <c r="CG14" s="41"/>
      <c r="CH14" s="41"/>
      <c r="CI14" s="42"/>
      <c r="CJ14" s="42"/>
      <c r="CK14" s="41"/>
      <c r="CL14" s="115"/>
      <c r="CM14" s="55"/>
      <c r="CN14" s="55"/>
      <c r="CO14" s="55"/>
      <c r="CP14" s="55"/>
      <c r="CQ14" s="55"/>
      <c r="CR14" s="55"/>
      <c r="CS14" s="56"/>
      <c r="CT14" s="56"/>
      <c r="CU14" s="55"/>
      <c r="CV14" s="129"/>
    </row>
    <row r="15" spans="1:162" s="33" customFormat="1" x14ac:dyDescent="0.3">
      <c r="A15" s="122" t="s">
        <v>0</v>
      </c>
      <c r="B15" s="123"/>
      <c r="C15" s="123"/>
      <c r="D15" s="123"/>
      <c r="E15" s="123"/>
      <c r="F15" s="123"/>
      <c r="G15" s="123"/>
      <c r="H15" s="123"/>
      <c r="I15" s="124"/>
      <c r="J15" s="129"/>
      <c r="K15" s="122" t="s">
        <v>0</v>
      </c>
      <c r="L15" s="123"/>
      <c r="M15" s="123"/>
      <c r="N15" s="123"/>
      <c r="O15" s="123"/>
      <c r="P15" s="123"/>
      <c r="Q15" s="123"/>
      <c r="R15" s="123"/>
      <c r="S15" s="124"/>
      <c r="T15" s="129"/>
      <c r="U15" s="122" t="s">
        <v>0</v>
      </c>
      <c r="V15" s="123"/>
      <c r="W15" s="123"/>
      <c r="X15" s="123"/>
      <c r="Y15" s="123"/>
      <c r="Z15" s="123"/>
      <c r="AA15" s="123"/>
      <c r="AB15" s="123"/>
      <c r="AC15" s="124"/>
      <c r="AD15" s="129"/>
      <c r="AE15" s="122" t="s">
        <v>0</v>
      </c>
      <c r="AF15" s="123"/>
      <c r="AG15" s="123"/>
      <c r="AH15" s="123"/>
      <c r="AI15" s="123"/>
      <c r="AJ15" s="123"/>
      <c r="AK15" s="123"/>
      <c r="AL15" s="123"/>
      <c r="AM15" s="124"/>
      <c r="AN15" s="129"/>
      <c r="AO15" s="122" t="s">
        <v>0</v>
      </c>
      <c r="AP15" s="123"/>
      <c r="AQ15" s="123"/>
      <c r="AR15" s="123"/>
      <c r="AS15" s="123"/>
      <c r="AT15" s="123"/>
      <c r="AU15" s="123"/>
      <c r="AV15" s="123"/>
      <c r="AW15" s="124"/>
      <c r="AX15" s="129"/>
      <c r="AY15" s="122" t="s">
        <v>0</v>
      </c>
      <c r="AZ15" s="123"/>
      <c r="BA15" s="123"/>
      <c r="BB15" s="123"/>
      <c r="BC15" s="123"/>
      <c r="BD15" s="123"/>
      <c r="BE15" s="123"/>
      <c r="BF15" s="123"/>
      <c r="BG15" s="124"/>
      <c r="BH15" s="115"/>
      <c r="BI15" s="122" t="s">
        <v>0</v>
      </c>
      <c r="BJ15" s="123"/>
      <c r="BK15" s="123"/>
      <c r="BL15" s="123"/>
      <c r="BM15" s="123"/>
      <c r="BN15" s="123"/>
      <c r="BO15" s="123"/>
      <c r="BP15" s="123"/>
      <c r="BQ15" s="124"/>
      <c r="BR15" s="115"/>
      <c r="BS15" s="122" t="s">
        <v>0</v>
      </c>
      <c r="BT15" s="123"/>
      <c r="BU15" s="123"/>
      <c r="BV15" s="123"/>
      <c r="BW15" s="123"/>
      <c r="BX15" s="123"/>
      <c r="BY15" s="123"/>
      <c r="BZ15" s="123"/>
      <c r="CA15" s="124"/>
      <c r="CB15" s="115"/>
      <c r="CC15" s="122" t="s">
        <v>0</v>
      </c>
      <c r="CD15" s="123"/>
      <c r="CE15" s="123"/>
      <c r="CF15" s="123"/>
      <c r="CG15" s="123"/>
      <c r="CH15" s="123"/>
      <c r="CI15" s="123"/>
      <c r="CJ15" s="123"/>
      <c r="CK15" s="124"/>
      <c r="CL15" s="115"/>
      <c r="CM15" s="122" t="s">
        <v>0</v>
      </c>
      <c r="CN15" s="123"/>
      <c r="CO15" s="123"/>
      <c r="CP15" s="123"/>
      <c r="CQ15" s="123"/>
      <c r="CR15" s="123"/>
      <c r="CS15" s="123"/>
      <c r="CT15" s="123"/>
      <c r="CU15" s="124"/>
      <c r="CV15" s="129"/>
      <c r="CW15" s="32"/>
      <c r="CX15" s="32"/>
      <c r="CY15" s="32"/>
      <c r="CZ15" s="32"/>
      <c r="DA15" s="32"/>
      <c r="DB15" s="32"/>
      <c r="DC15" s="32"/>
      <c r="DD15" s="32"/>
      <c r="DE15" s="32"/>
      <c r="DF15" s="32"/>
      <c r="DG15" s="32"/>
      <c r="DH15" s="32"/>
      <c r="DI15" s="32"/>
      <c r="DJ15" s="32"/>
      <c r="DK15" s="32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2"/>
      <c r="EE15" s="32"/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</row>
    <row r="16" spans="1:162" x14ac:dyDescent="0.3">
      <c r="B16" s="24">
        <v>401</v>
      </c>
      <c r="C16" s="103" t="s">
        <v>144</v>
      </c>
      <c r="D16" s="41">
        <v>180</v>
      </c>
      <c r="E16" s="24">
        <v>5.8</v>
      </c>
      <c r="F16" s="24">
        <v>5</v>
      </c>
      <c r="G16" s="35">
        <v>8</v>
      </c>
      <c r="H16" s="35">
        <v>100.5</v>
      </c>
      <c r="I16" s="24">
        <v>1.4</v>
      </c>
      <c r="J16" s="129"/>
      <c r="K16" s="55"/>
      <c r="L16" s="41"/>
      <c r="M16" s="41" t="s">
        <v>134</v>
      </c>
      <c r="N16" s="41">
        <v>95</v>
      </c>
      <c r="O16" s="43">
        <v>0.4</v>
      </c>
      <c r="P16" s="43">
        <v>0.4</v>
      </c>
      <c r="Q16" s="43">
        <v>9.8000000000000007</v>
      </c>
      <c r="R16" s="43">
        <v>44</v>
      </c>
      <c r="S16" s="43">
        <v>10</v>
      </c>
      <c r="T16" s="129"/>
      <c r="U16" s="41"/>
      <c r="V16" s="24">
        <v>401</v>
      </c>
      <c r="W16" s="103" t="s">
        <v>144</v>
      </c>
      <c r="X16" s="41">
        <v>180</v>
      </c>
      <c r="Y16" s="24">
        <v>5.8</v>
      </c>
      <c r="Z16" s="24">
        <v>5</v>
      </c>
      <c r="AA16" s="35">
        <v>8</v>
      </c>
      <c r="AB16" s="35">
        <v>100.5</v>
      </c>
      <c r="AC16" s="24">
        <v>1.4</v>
      </c>
      <c r="AD16" s="129"/>
      <c r="AE16" s="41"/>
      <c r="AF16" s="23">
        <v>399</v>
      </c>
      <c r="AG16" s="104" t="s">
        <v>201</v>
      </c>
      <c r="AH16" s="23">
        <v>180</v>
      </c>
      <c r="AI16" s="60">
        <v>0.54</v>
      </c>
      <c r="AJ16" s="60">
        <v>0.18</v>
      </c>
      <c r="AK16" s="60">
        <v>27.36</v>
      </c>
      <c r="AL16" s="46">
        <f t="shared" ref="AL16" si="21">AK16*4+AJ16*9+AI16*4</f>
        <v>113.22</v>
      </c>
      <c r="AM16" s="60">
        <v>7.2</v>
      </c>
      <c r="AN16" s="129"/>
      <c r="AO16" s="41"/>
      <c r="AP16" s="41"/>
      <c r="AQ16" s="41" t="s">
        <v>145</v>
      </c>
      <c r="AR16" s="41">
        <v>20</v>
      </c>
      <c r="AS16" s="41">
        <v>4.0999999999999996</v>
      </c>
      <c r="AT16" s="41">
        <v>2.2999999999999998</v>
      </c>
      <c r="AU16" s="41">
        <v>13.2</v>
      </c>
      <c r="AV16" s="41">
        <v>94</v>
      </c>
      <c r="AW16" s="43">
        <v>10</v>
      </c>
      <c r="AX16" s="129"/>
      <c r="AY16" s="41"/>
      <c r="AZ16" s="34">
        <v>399</v>
      </c>
      <c r="BA16" s="34" t="s">
        <v>129</v>
      </c>
      <c r="BB16" s="34">
        <v>180</v>
      </c>
      <c r="BC16" s="60">
        <v>0.54</v>
      </c>
      <c r="BD16" s="60">
        <v>0.18</v>
      </c>
      <c r="BE16" s="60">
        <v>27.36</v>
      </c>
      <c r="BF16" s="46">
        <f t="shared" ref="BF16" si="22">BE16*4+BD16*9+BC16*4</f>
        <v>113.22</v>
      </c>
      <c r="BG16" s="60">
        <v>7.2</v>
      </c>
      <c r="BH16" s="115"/>
      <c r="BI16" s="41"/>
      <c r="BJ16" s="34"/>
      <c r="BK16" s="51" t="s">
        <v>174</v>
      </c>
      <c r="BL16" s="51">
        <v>95</v>
      </c>
      <c r="BM16" s="43">
        <v>0.4</v>
      </c>
      <c r="BN16" s="43">
        <v>0.4</v>
      </c>
      <c r="BO16" s="43">
        <v>9.8000000000000007</v>
      </c>
      <c r="BP16" s="43">
        <v>44</v>
      </c>
      <c r="BQ16" s="43">
        <v>10</v>
      </c>
      <c r="BR16" s="115"/>
      <c r="BS16" s="41"/>
      <c r="BT16" s="41">
        <v>401</v>
      </c>
      <c r="BU16" s="34" t="s">
        <v>144</v>
      </c>
      <c r="BV16" s="5">
        <v>180</v>
      </c>
      <c r="BW16" s="43">
        <v>5.8</v>
      </c>
      <c r="BX16" s="43">
        <v>5</v>
      </c>
      <c r="BY16" s="43">
        <v>8</v>
      </c>
      <c r="BZ16" s="43">
        <f>BY16*4+BX16*9+BW16*4</f>
        <v>100.2</v>
      </c>
      <c r="CA16" s="43">
        <v>1.4</v>
      </c>
      <c r="CB16" s="115"/>
      <c r="CC16" s="41"/>
      <c r="CD16" s="34">
        <v>401</v>
      </c>
      <c r="CE16" s="34" t="s">
        <v>144</v>
      </c>
      <c r="CF16" s="34">
        <v>180</v>
      </c>
      <c r="CG16" s="43">
        <v>5.8</v>
      </c>
      <c r="CH16" s="43">
        <v>5</v>
      </c>
      <c r="CI16" s="43">
        <v>8</v>
      </c>
      <c r="CJ16" s="43">
        <f>CI16*4+CH16*9+CG16*4</f>
        <v>100.2</v>
      </c>
      <c r="CK16" s="43">
        <v>1.4</v>
      </c>
      <c r="CL16" s="115"/>
      <c r="CM16" s="55"/>
      <c r="CN16" s="34">
        <v>399</v>
      </c>
      <c r="CO16" s="34" t="s">
        <v>129</v>
      </c>
      <c r="CP16" s="34">
        <v>180</v>
      </c>
      <c r="CQ16" s="41">
        <v>0.54</v>
      </c>
      <c r="CR16" s="41">
        <v>0.18</v>
      </c>
      <c r="CS16" s="42">
        <v>27.36</v>
      </c>
      <c r="CT16" s="42">
        <v>105.3</v>
      </c>
      <c r="CU16" s="41">
        <v>7.7</v>
      </c>
      <c r="CV16" s="129"/>
    </row>
    <row r="17" spans="1:162" x14ac:dyDescent="0.3">
      <c r="C17" s="41" t="s">
        <v>145</v>
      </c>
      <c r="D17" s="41">
        <v>20</v>
      </c>
      <c r="E17" s="41">
        <v>4.0999999999999996</v>
      </c>
      <c r="F17" s="41">
        <v>2.2999999999999998</v>
      </c>
      <c r="G17" s="41">
        <v>13.2</v>
      </c>
      <c r="H17" s="41">
        <v>94</v>
      </c>
      <c r="J17" s="129"/>
      <c r="K17" s="55"/>
      <c r="Q17" s="40"/>
      <c r="R17" s="35"/>
      <c r="T17" s="129"/>
      <c r="U17" s="41"/>
      <c r="W17" s="41" t="s">
        <v>145</v>
      </c>
      <c r="X17" s="41">
        <v>20</v>
      </c>
      <c r="Y17" s="41">
        <v>4.0999999999999996</v>
      </c>
      <c r="Z17" s="41">
        <v>2.2999999999999998</v>
      </c>
      <c r="AA17" s="41">
        <v>13.2</v>
      </c>
      <c r="AB17" s="41">
        <v>94</v>
      </c>
      <c r="AD17" s="129"/>
      <c r="AE17" s="41"/>
      <c r="AF17" s="41"/>
      <c r="AG17" s="41" t="s">
        <v>145</v>
      </c>
      <c r="AH17" s="41">
        <v>20</v>
      </c>
      <c r="AI17" s="41">
        <v>4.0999999999999996</v>
      </c>
      <c r="AJ17" s="41">
        <v>2.2999999999999998</v>
      </c>
      <c r="AK17" s="41">
        <v>13.2</v>
      </c>
      <c r="AL17" s="41">
        <v>94</v>
      </c>
      <c r="AN17" s="129"/>
      <c r="AO17" s="41"/>
      <c r="AQ17" s="41"/>
      <c r="AR17" s="41"/>
      <c r="AS17" s="41"/>
      <c r="AT17" s="41"/>
      <c r="AU17" s="41"/>
      <c r="AV17" s="41"/>
      <c r="AW17" s="41"/>
      <c r="AX17" s="129"/>
      <c r="AY17" s="41"/>
      <c r="AZ17" s="34"/>
      <c r="BA17" s="34" t="s">
        <v>145</v>
      </c>
      <c r="BB17" s="34">
        <v>20</v>
      </c>
      <c r="BC17" s="41">
        <v>4.0999999999999996</v>
      </c>
      <c r="BD17" s="41">
        <v>2.2999999999999998</v>
      </c>
      <c r="BE17" s="41">
        <v>13.2</v>
      </c>
      <c r="BF17" s="41">
        <v>94</v>
      </c>
      <c r="BG17" s="43">
        <v>10</v>
      </c>
      <c r="BH17" s="115"/>
      <c r="BI17" s="34"/>
      <c r="BJ17" s="34"/>
      <c r="BK17" s="41"/>
      <c r="BL17" s="41"/>
      <c r="BM17" s="41"/>
      <c r="BN17" s="41"/>
      <c r="BO17" s="41"/>
      <c r="BP17" s="41"/>
      <c r="BQ17" s="41"/>
      <c r="BR17" s="115"/>
      <c r="BS17" s="41"/>
      <c r="BT17" s="41"/>
      <c r="BU17" s="41"/>
      <c r="BV17" s="41"/>
      <c r="BW17" s="41"/>
      <c r="BX17" s="41"/>
      <c r="BY17" s="41"/>
      <c r="BZ17" s="41"/>
      <c r="CA17" s="41"/>
      <c r="CB17" s="115"/>
      <c r="CC17" s="41"/>
      <c r="CD17" s="34"/>
      <c r="CE17" s="34"/>
      <c r="CF17" s="34"/>
      <c r="CG17" s="41"/>
      <c r="CH17" s="41"/>
      <c r="CI17" s="41"/>
      <c r="CJ17" s="41"/>
      <c r="CK17" s="41"/>
      <c r="CL17" s="115"/>
      <c r="CM17" s="55"/>
      <c r="CN17" s="34"/>
      <c r="CO17" s="34" t="s">
        <v>38</v>
      </c>
      <c r="CP17" s="34">
        <v>95</v>
      </c>
      <c r="CQ17" s="43">
        <v>0.4</v>
      </c>
      <c r="CR17" s="43">
        <v>0.4</v>
      </c>
      <c r="CS17" s="43">
        <v>9.8000000000000007</v>
      </c>
      <c r="CT17" s="68">
        <f t="shared" ref="CT17" si="23">CS17*4+CR17*9+CQ17*4</f>
        <v>44.400000000000006</v>
      </c>
      <c r="CU17" s="43">
        <v>10</v>
      </c>
      <c r="CV17" s="129"/>
    </row>
    <row r="18" spans="1:162" x14ac:dyDescent="0.3">
      <c r="J18" s="129"/>
      <c r="K18" s="55"/>
      <c r="L18" s="55"/>
      <c r="M18" s="55"/>
      <c r="N18" s="55"/>
      <c r="O18" s="55"/>
      <c r="P18" s="55"/>
      <c r="Q18" s="56"/>
      <c r="R18" s="56"/>
      <c r="S18" s="55"/>
      <c r="T18" s="129"/>
      <c r="U18" s="41"/>
      <c r="V18" s="41"/>
      <c r="W18" s="41"/>
      <c r="X18" s="41"/>
      <c r="Y18" s="41"/>
      <c r="Z18" s="41"/>
      <c r="AA18" s="42"/>
      <c r="AB18" s="42"/>
      <c r="AC18" s="41"/>
      <c r="AD18" s="129"/>
      <c r="AE18" s="41"/>
      <c r="AF18" s="41"/>
      <c r="AG18" s="41"/>
      <c r="AH18" s="41"/>
      <c r="AI18" s="41"/>
      <c r="AJ18" s="41"/>
      <c r="AK18" s="42"/>
      <c r="AL18" s="42"/>
      <c r="AM18" s="41"/>
      <c r="AN18" s="129"/>
      <c r="AO18" s="41"/>
      <c r="AP18" s="41"/>
      <c r="AQ18" s="41"/>
      <c r="AR18" s="41"/>
      <c r="AS18" s="41"/>
      <c r="AT18" s="41"/>
      <c r="AU18" s="42"/>
      <c r="AV18" s="42"/>
      <c r="AW18" s="41"/>
      <c r="AX18" s="129"/>
      <c r="AY18" s="41"/>
      <c r="AZ18" s="41"/>
      <c r="BA18" s="41"/>
      <c r="BB18" s="41"/>
      <c r="BC18" s="41"/>
      <c r="BD18" s="41"/>
      <c r="BE18" s="41"/>
      <c r="BF18" s="41"/>
      <c r="BG18" s="41"/>
      <c r="BH18" s="115"/>
      <c r="BI18" s="41"/>
      <c r="BJ18" s="41"/>
      <c r="BK18" s="41"/>
      <c r="BR18" s="115"/>
      <c r="BS18" s="41"/>
      <c r="BT18" s="41"/>
      <c r="BU18" s="41"/>
      <c r="BV18" s="41"/>
      <c r="BW18" s="41"/>
      <c r="BX18" s="41"/>
      <c r="BY18" s="42"/>
      <c r="BZ18" s="42"/>
      <c r="CA18" s="41"/>
      <c r="CB18" s="115"/>
      <c r="CC18" s="41"/>
      <c r="CL18" s="115"/>
      <c r="CM18" s="55"/>
      <c r="CN18" s="55"/>
      <c r="CO18" s="55"/>
      <c r="CP18" s="55"/>
      <c r="CQ18" s="55"/>
      <c r="CR18" s="55"/>
      <c r="CS18" s="56"/>
      <c r="CT18" s="56"/>
      <c r="CU18" s="55"/>
      <c r="CV18" s="129"/>
    </row>
    <row r="19" spans="1:162" s="41" customFormat="1" x14ac:dyDescent="0.3">
      <c r="A19" s="19" t="s">
        <v>31</v>
      </c>
      <c r="B19" s="19"/>
      <c r="C19" s="19"/>
      <c r="D19" s="19"/>
      <c r="E19" s="19">
        <f>SUM(E16:E17)</f>
        <v>9.8999999999999986</v>
      </c>
      <c r="F19" s="19">
        <f>SUM(F16:F17)</f>
        <v>7.3</v>
      </c>
      <c r="G19" s="54">
        <f>SUM(G16:G17)</f>
        <v>21.2</v>
      </c>
      <c r="H19" s="54">
        <f>SUM(H16:H17)</f>
        <v>194.5</v>
      </c>
      <c r="I19" s="19">
        <f>SUM(I16:I17)</f>
        <v>1.4</v>
      </c>
      <c r="J19" s="129"/>
      <c r="K19" s="19" t="s">
        <v>31</v>
      </c>
      <c r="L19" s="19"/>
      <c r="M19" s="19"/>
      <c r="N19" s="19"/>
      <c r="O19" s="19">
        <f>SUM(O16:O17)</f>
        <v>0.4</v>
      </c>
      <c r="P19" s="19">
        <f>SUM(P16:P17)</f>
        <v>0.4</v>
      </c>
      <c r="Q19" s="54">
        <f>SUM(Q16:Q17)</f>
        <v>9.8000000000000007</v>
      </c>
      <c r="R19" s="54">
        <f>SUM(R16:R17)</f>
        <v>44</v>
      </c>
      <c r="S19" s="19">
        <f>SUM(S16:S17)</f>
        <v>10</v>
      </c>
      <c r="T19" s="129"/>
      <c r="U19" s="19" t="s">
        <v>31</v>
      </c>
      <c r="V19" s="19"/>
      <c r="W19" s="19"/>
      <c r="X19" s="19"/>
      <c r="Y19" s="19">
        <f>SUM(Y16:Y17)</f>
        <v>9.8999999999999986</v>
      </c>
      <c r="Z19" s="19">
        <f>SUM(Z16:Z17)</f>
        <v>7.3</v>
      </c>
      <c r="AA19" s="54">
        <f>SUM(AA16:AA17)</f>
        <v>21.2</v>
      </c>
      <c r="AB19" s="54">
        <f>SUM(AB16:AB17)</f>
        <v>194.5</v>
      </c>
      <c r="AC19" s="19">
        <f>SUM(AC16:AC17)</f>
        <v>1.4</v>
      </c>
      <c r="AD19" s="129"/>
      <c r="AE19" s="19" t="s">
        <v>31</v>
      </c>
      <c r="AF19" s="19"/>
      <c r="AG19" s="19"/>
      <c r="AH19" s="19"/>
      <c r="AI19" s="21">
        <f>SUM(AI16:AI18)</f>
        <v>4.6399999999999997</v>
      </c>
      <c r="AJ19" s="19">
        <f>SUM(AJ16:AJ18)</f>
        <v>2.48</v>
      </c>
      <c r="AK19" s="54">
        <f>SUM(AK16:AK18)</f>
        <v>40.56</v>
      </c>
      <c r="AL19" s="54">
        <f>SUM(AL16:AL18)</f>
        <v>207.22</v>
      </c>
      <c r="AM19" s="19">
        <f>SUM(AM16:AM17)</f>
        <v>7.2</v>
      </c>
      <c r="AN19" s="129"/>
      <c r="AO19" s="19" t="s">
        <v>31</v>
      </c>
      <c r="AP19" s="19"/>
      <c r="AQ19" s="19"/>
      <c r="AR19" s="19"/>
      <c r="AS19" s="21">
        <f>SUM(AS16:AS18)</f>
        <v>4.0999999999999996</v>
      </c>
      <c r="AT19" s="19">
        <f>SUM(AT16:AT18)</f>
        <v>2.2999999999999998</v>
      </c>
      <c r="AU19" s="54">
        <f>SUM(AU16:AU18)</f>
        <v>13.2</v>
      </c>
      <c r="AV19" s="54">
        <f>SUM(AV16:AV18)</f>
        <v>94</v>
      </c>
      <c r="AW19" s="19">
        <f>SUM(AW16:AW17)</f>
        <v>10</v>
      </c>
      <c r="AX19" s="129"/>
      <c r="AY19" s="19" t="s">
        <v>31</v>
      </c>
      <c r="AZ19" s="19"/>
      <c r="BA19" s="19"/>
      <c r="BB19" s="19"/>
      <c r="BC19" s="21">
        <f>SUM(BC16:BC17)</f>
        <v>4.6399999999999997</v>
      </c>
      <c r="BD19" s="19">
        <f>SUM(BD16:BD17)</f>
        <v>2.48</v>
      </c>
      <c r="BE19" s="54">
        <f>SUM(BE16:BE17)</f>
        <v>40.56</v>
      </c>
      <c r="BF19" s="54">
        <f>SUM(BF16:BF17)</f>
        <v>207.22</v>
      </c>
      <c r="BG19" s="19"/>
      <c r="BH19" s="115"/>
      <c r="BI19" s="19" t="s">
        <v>31</v>
      </c>
      <c r="BJ19" s="19"/>
      <c r="BK19" s="19"/>
      <c r="BL19" s="19"/>
      <c r="BM19" s="21">
        <f>SUM(BM16:BM17)</f>
        <v>0.4</v>
      </c>
      <c r="BN19" s="19">
        <f>SUM(BN16:BN17)</f>
        <v>0.4</v>
      </c>
      <c r="BO19" s="54">
        <f>SUM(BO16:BO17)</f>
        <v>9.8000000000000007</v>
      </c>
      <c r="BP19" s="54">
        <f>SUM(BP16:BP17)</f>
        <v>44</v>
      </c>
      <c r="BQ19" s="19">
        <f>SUM(BQ14:BQ17)</f>
        <v>10</v>
      </c>
      <c r="BR19" s="115"/>
      <c r="BS19" s="19" t="s">
        <v>31</v>
      </c>
      <c r="BT19" s="19"/>
      <c r="BU19" s="19"/>
      <c r="BV19" s="19"/>
      <c r="BW19" s="19">
        <f>SUM(BW16:BW17)</f>
        <v>5.8</v>
      </c>
      <c r="BX19" s="19">
        <f>SUM(BX16:BX17)</f>
        <v>5</v>
      </c>
      <c r="BY19" s="54">
        <f>SUM(BY16:BY17)</f>
        <v>8</v>
      </c>
      <c r="BZ19" s="54">
        <f>SUM(BZ16:BZ17)</f>
        <v>100.2</v>
      </c>
      <c r="CA19" s="19">
        <f>SUM(CA16:CA17)</f>
        <v>1.4</v>
      </c>
      <c r="CB19" s="115"/>
      <c r="CC19" s="19" t="s">
        <v>31</v>
      </c>
      <c r="CD19" s="19"/>
      <c r="CE19" s="19"/>
      <c r="CF19" s="19"/>
      <c r="CG19" s="19">
        <f>SUM(CG16:CG17)</f>
        <v>5.8</v>
      </c>
      <c r="CH19" s="19">
        <f>SUM(CH16:CH17)</f>
        <v>5</v>
      </c>
      <c r="CI19" s="54">
        <f>SUM(CI16:CI17)</f>
        <v>8</v>
      </c>
      <c r="CJ19" s="54">
        <f>SUM(CJ16:CJ17)</f>
        <v>100.2</v>
      </c>
      <c r="CK19" s="19">
        <f>SUM(CK16:CK17)</f>
        <v>1.4</v>
      </c>
      <c r="CL19" s="115"/>
      <c r="CM19" s="19" t="s">
        <v>31</v>
      </c>
      <c r="CN19" s="19"/>
      <c r="CO19" s="19"/>
      <c r="CP19" s="19"/>
      <c r="CQ19" s="19">
        <f>SUM(CQ16:CQ17)</f>
        <v>0.94000000000000006</v>
      </c>
      <c r="CR19" s="19">
        <f>SUM(CR16:CR17)</f>
        <v>0.58000000000000007</v>
      </c>
      <c r="CS19" s="54">
        <f>SUM(CS16:CS17)</f>
        <v>37.159999999999997</v>
      </c>
      <c r="CT19" s="54">
        <f>SUM(CT16:CT17)</f>
        <v>149.69999999999999</v>
      </c>
      <c r="CU19" s="19">
        <f>SUM(CU16:CU17)</f>
        <v>17.7</v>
      </c>
      <c r="CV19" s="129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</row>
    <row r="20" spans="1:162" s="41" customFormat="1" x14ac:dyDescent="0.3">
      <c r="A20" s="19" t="s">
        <v>30</v>
      </c>
      <c r="B20" s="19"/>
      <c r="C20" s="19"/>
      <c r="D20" s="19"/>
      <c r="E20" s="54">
        <v>2.1</v>
      </c>
      <c r="F20" s="54">
        <v>2.35</v>
      </c>
      <c r="G20" s="54">
        <v>10.15</v>
      </c>
      <c r="H20" s="54">
        <v>70</v>
      </c>
      <c r="I20" s="19"/>
      <c r="J20" s="129"/>
      <c r="K20" s="19" t="s">
        <v>30</v>
      </c>
      <c r="L20" s="19"/>
      <c r="M20" s="19"/>
      <c r="N20" s="19"/>
      <c r="O20" s="54">
        <v>2.1</v>
      </c>
      <c r="P20" s="54">
        <v>2.35</v>
      </c>
      <c r="Q20" s="54">
        <v>10.15</v>
      </c>
      <c r="R20" s="54">
        <v>70</v>
      </c>
      <c r="S20" s="19"/>
      <c r="T20" s="129"/>
      <c r="U20" s="19" t="s">
        <v>30</v>
      </c>
      <c r="V20" s="19"/>
      <c r="W20" s="19"/>
      <c r="X20" s="19"/>
      <c r="Y20" s="54">
        <v>2.1</v>
      </c>
      <c r="Z20" s="54">
        <v>2.35</v>
      </c>
      <c r="AA20" s="54">
        <v>10.15</v>
      </c>
      <c r="AB20" s="54">
        <v>70</v>
      </c>
      <c r="AC20" s="19"/>
      <c r="AD20" s="129"/>
      <c r="AE20" s="19" t="s">
        <v>30</v>
      </c>
      <c r="AF20" s="19"/>
      <c r="AG20" s="19"/>
      <c r="AH20" s="19"/>
      <c r="AI20" s="54">
        <v>2.1</v>
      </c>
      <c r="AJ20" s="54">
        <v>2.35</v>
      </c>
      <c r="AK20" s="54">
        <v>10.15</v>
      </c>
      <c r="AL20" s="54">
        <v>70</v>
      </c>
      <c r="AM20" s="19"/>
      <c r="AN20" s="129"/>
      <c r="AO20" s="19" t="s">
        <v>30</v>
      </c>
      <c r="AP20" s="19"/>
      <c r="AQ20" s="19"/>
      <c r="AR20" s="19"/>
      <c r="AS20" s="54">
        <v>2.1</v>
      </c>
      <c r="AT20" s="54">
        <v>2.35</v>
      </c>
      <c r="AU20" s="54">
        <v>10.15</v>
      </c>
      <c r="AV20" s="54">
        <v>70</v>
      </c>
      <c r="AW20" s="19"/>
      <c r="AX20" s="129"/>
      <c r="AY20" s="19" t="s">
        <v>30</v>
      </c>
      <c r="AZ20" s="19"/>
      <c r="BA20" s="19"/>
      <c r="BB20" s="19"/>
      <c r="BC20" s="54">
        <v>2.1</v>
      </c>
      <c r="BD20" s="54">
        <v>2.35</v>
      </c>
      <c r="BE20" s="54">
        <v>10.15</v>
      </c>
      <c r="BF20" s="54">
        <v>70</v>
      </c>
      <c r="BG20" s="19"/>
      <c r="BH20" s="115"/>
      <c r="BI20" s="19" t="s">
        <v>30</v>
      </c>
      <c r="BJ20" s="19"/>
      <c r="BK20" s="19"/>
      <c r="BL20" s="19"/>
      <c r="BM20" s="54">
        <v>2.1</v>
      </c>
      <c r="BN20" s="54">
        <v>2.35</v>
      </c>
      <c r="BO20" s="54">
        <v>10.15</v>
      </c>
      <c r="BP20" s="54">
        <v>70</v>
      </c>
      <c r="BQ20" s="19"/>
      <c r="BR20" s="115"/>
      <c r="BS20" s="19" t="s">
        <v>30</v>
      </c>
      <c r="BT20" s="19"/>
      <c r="BU20" s="19"/>
      <c r="BV20" s="19"/>
      <c r="BW20" s="54">
        <v>2.1</v>
      </c>
      <c r="BX20" s="54">
        <v>2.35</v>
      </c>
      <c r="BY20" s="54">
        <v>10.15</v>
      </c>
      <c r="BZ20" s="54">
        <v>70</v>
      </c>
      <c r="CA20" s="19"/>
      <c r="CB20" s="115"/>
      <c r="CC20" s="19" t="s">
        <v>30</v>
      </c>
      <c r="CD20" s="19"/>
      <c r="CE20" s="19"/>
      <c r="CF20" s="19"/>
      <c r="CG20" s="54">
        <v>2.1</v>
      </c>
      <c r="CH20" s="54">
        <v>2.35</v>
      </c>
      <c r="CI20" s="54">
        <v>10.15</v>
      </c>
      <c r="CJ20" s="54">
        <v>70</v>
      </c>
      <c r="CK20" s="19"/>
      <c r="CL20" s="115"/>
      <c r="CM20" s="19" t="s">
        <v>30</v>
      </c>
      <c r="CN20" s="19"/>
      <c r="CO20" s="19"/>
      <c r="CP20" s="19"/>
      <c r="CQ20" s="54">
        <v>2.1</v>
      </c>
      <c r="CR20" s="54">
        <v>2.35</v>
      </c>
      <c r="CS20" s="54">
        <v>10.15</v>
      </c>
      <c r="CT20" s="54">
        <v>70</v>
      </c>
      <c r="CU20" s="19"/>
      <c r="CV20" s="129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</row>
    <row r="21" spans="1:162" x14ac:dyDescent="0.3">
      <c r="A21" s="23"/>
      <c r="B21" s="23"/>
      <c r="C21" s="23"/>
      <c r="D21" s="23"/>
      <c r="E21" s="23"/>
      <c r="F21" s="23"/>
      <c r="G21" s="40"/>
      <c r="H21" s="40"/>
      <c r="J21" s="129"/>
      <c r="K21" s="57"/>
      <c r="L21" s="57"/>
      <c r="M21" s="57"/>
      <c r="N21" s="57"/>
      <c r="O21" s="57"/>
      <c r="P21" s="57"/>
      <c r="Q21" s="58"/>
      <c r="R21" s="58"/>
      <c r="S21" s="55"/>
      <c r="T21" s="129"/>
      <c r="U21" s="34"/>
      <c r="V21" s="34"/>
      <c r="W21" s="34"/>
      <c r="X21" s="34"/>
      <c r="Y21" s="34"/>
      <c r="Z21" s="34"/>
      <c r="AA21" s="38"/>
      <c r="AB21" s="38"/>
      <c r="AC21" s="41"/>
      <c r="AD21" s="129"/>
      <c r="AE21" s="34"/>
      <c r="AF21" s="34"/>
      <c r="AG21" s="34"/>
      <c r="AH21" s="34"/>
      <c r="AI21" s="34"/>
      <c r="AJ21" s="34"/>
      <c r="AK21" s="38"/>
      <c r="AL21" s="38"/>
      <c r="AM21" s="41"/>
      <c r="AN21" s="129"/>
      <c r="AO21" s="34"/>
      <c r="AP21" s="34"/>
      <c r="AQ21" s="34"/>
      <c r="AR21" s="34"/>
      <c r="AS21" s="34"/>
      <c r="AT21" s="34"/>
      <c r="AU21" s="38"/>
      <c r="AV21" s="38"/>
      <c r="AW21" s="41"/>
      <c r="AX21" s="129"/>
      <c r="AY21" s="34"/>
      <c r="AZ21" s="34"/>
      <c r="BA21" s="34"/>
      <c r="BB21" s="34"/>
      <c r="BC21" s="34"/>
      <c r="BD21" s="34"/>
      <c r="BE21" s="38"/>
      <c r="BF21" s="38"/>
      <c r="BG21" s="41"/>
      <c r="BH21" s="115"/>
      <c r="BI21" s="34"/>
      <c r="BJ21" s="34"/>
      <c r="BK21" s="34"/>
      <c r="BL21" s="34"/>
      <c r="BM21" s="34"/>
      <c r="BN21" s="34"/>
      <c r="BO21" s="38"/>
      <c r="BP21" s="38"/>
      <c r="BQ21" s="41"/>
      <c r="BR21" s="115"/>
      <c r="BS21" s="34"/>
      <c r="BT21" s="34"/>
      <c r="BU21" s="34"/>
      <c r="BV21" s="34"/>
      <c r="BW21" s="34"/>
      <c r="BX21" s="34"/>
      <c r="BY21" s="38"/>
      <c r="BZ21" s="38"/>
      <c r="CA21" s="41"/>
      <c r="CB21" s="115"/>
      <c r="CC21" s="34"/>
      <c r="CD21" s="34"/>
      <c r="CE21" s="34"/>
      <c r="CF21" s="34"/>
      <c r="CG21" s="34"/>
      <c r="CH21" s="34"/>
      <c r="CI21" s="38"/>
      <c r="CJ21" s="38"/>
      <c r="CK21" s="41"/>
      <c r="CL21" s="115"/>
      <c r="CM21" s="57"/>
      <c r="CN21" s="57"/>
      <c r="CO21" s="57"/>
      <c r="CP21" s="57"/>
      <c r="CQ21" s="57"/>
      <c r="CR21" s="57"/>
      <c r="CS21" s="58"/>
      <c r="CT21" s="58"/>
      <c r="CU21" s="55"/>
      <c r="CV21" s="129"/>
    </row>
    <row r="22" spans="1:162" s="33" customFormat="1" x14ac:dyDescent="0.3">
      <c r="A22" s="122" t="s">
        <v>18</v>
      </c>
      <c r="B22" s="123"/>
      <c r="C22" s="123"/>
      <c r="D22" s="123"/>
      <c r="E22" s="123"/>
      <c r="F22" s="123"/>
      <c r="G22" s="123"/>
      <c r="H22" s="123"/>
      <c r="I22" s="124"/>
      <c r="J22" s="129"/>
      <c r="K22" s="125" t="s">
        <v>18</v>
      </c>
      <c r="L22" s="126"/>
      <c r="M22" s="126"/>
      <c r="N22" s="126"/>
      <c r="O22" s="126"/>
      <c r="P22" s="126"/>
      <c r="Q22" s="126"/>
      <c r="R22" s="126"/>
      <c r="S22" s="127"/>
      <c r="T22" s="129"/>
      <c r="U22" s="125" t="s">
        <v>18</v>
      </c>
      <c r="V22" s="126"/>
      <c r="W22" s="126"/>
      <c r="X22" s="126"/>
      <c r="Y22" s="126"/>
      <c r="Z22" s="126"/>
      <c r="AA22" s="126"/>
      <c r="AB22" s="126"/>
      <c r="AC22" s="127"/>
      <c r="AD22" s="129"/>
      <c r="AE22" s="125" t="s">
        <v>18</v>
      </c>
      <c r="AF22" s="126"/>
      <c r="AG22" s="126"/>
      <c r="AH22" s="126"/>
      <c r="AI22" s="126"/>
      <c r="AJ22" s="126"/>
      <c r="AK22" s="126"/>
      <c r="AL22" s="126"/>
      <c r="AM22" s="127"/>
      <c r="AN22" s="129"/>
      <c r="AO22" s="125" t="s">
        <v>18</v>
      </c>
      <c r="AP22" s="126"/>
      <c r="AQ22" s="126"/>
      <c r="AR22" s="126"/>
      <c r="AS22" s="126"/>
      <c r="AT22" s="126"/>
      <c r="AU22" s="126"/>
      <c r="AV22" s="126"/>
      <c r="AW22" s="127"/>
      <c r="AX22" s="129"/>
      <c r="AY22" s="125" t="s">
        <v>18</v>
      </c>
      <c r="AZ22" s="126"/>
      <c r="BA22" s="126"/>
      <c r="BB22" s="126"/>
      <c r="BC22" s="126"/>
      <c r="BD22" s="126"/>
      <c r="BE22" s="126"/>
      <c r="BF22" s="126"/>
      <c r="BG22" s="127"/>
      <c r="BH22" s="115"/>
      <c r="BI22" s="125" t="s">
        <v>18</v>
      </c>
      <c r="BJ22" s="126"/>
      <c r="BK22" s="126"/>
      <c r="BL22" s="126"/>
      <c r="BM22" s="126"/>
      <c r="BN22" s="126"/>
      <c r="BO22" s="126"/>
      <c r="BP22" s="126"/>
      <c r="BQ22" s="127"/>
      <c r="BR22" s="115"/>
      <c r="BS22" s="125" t="s">
        <v>18</v>
      </c>
      <c r="BT22" s="126"/>
      <c r="BU22" s="126"/>
      <c r="BV22" s="126"/>
      <c r="BW22" s="126"/>
      <c r="BX22" s="126"/>
      <c r="BY22" s="126"/>
      <c r="BZ22" s="126"/>
      <c r="CA22" s="127"/>
      <c r="CB22" s="115"/>
      <c r="CC22" s="125" t="s">
        <v>18</v>
      </c>
      <c r="CD22" s="126"/>
      <c r="CE22" s="126"/>
      <c r="CF22" s="126"/>
      <c r="CG22" s="126"/>
      <c r="CH22" s="126"/>
      <c r="CI22" s="126"/>
      <c r="CJ22" s="126"/>
      <c r="CK22" s="127"/>
      <c r="CL22" s="115"/>
      <c r="CM22" s="125" t="s">
        <v>18</v>
      </c>
      <c r="CN22" s="126"/>
      <c r="CO22" s="126"/>
      <c r="CP22" s="126"/>
      <c r="CQ22" s="126"/>
      <c r="CR22" s="126"/>
      <c r="CS22" s="126"/>
      <c r="CT22" s="126"/>
      <c r="CU22" s="127"/>
      <c r="CV22" s="129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</row>
    <row r="23" spans="1:162" x14ac:dyDescent="0.3">
      <c r="B23" s="23"/>
      <c r="C23" s="104" t="s">
        <v>125</v>
      </c>
      <c r="D23" s="23">
        <v>40</v>
      </c>
      <c r="E23" s="46">
        <v>0.32</v>
      </c>
      <c r="F23" s="46">
        <v>0.04</v>
      </c>
      <c r="G23" s="46">
        <v>1.1200000000000001</v>
      </c>
      <c r="H23" s="46">
        <f>G23*4+F23*9+E23*4</f>
        <v>6.120000000000001</v>
      </c>
      <c r="I23" s="43"/>
      <c r="J23" s="129"/>
      <c r="K23" s="41"/>
      <c r="L23" s="34">
        <v>14</v>
      </c>
      <c r="M23" s="34" t="s">
        <v>203</v>
      </c>
      <c r="N23" s="34">
        <v>40</v>
      </c>
      <c r="O23" s="46">
        <v>0.52</v>
      </c>
      <c r="P23" s="46">
        <v>3.12</v>
      </c>
      <c r="Q23" s="46">
        <v>3.17</v>
      </c>
      <c r="R23" s="46">
        <f>Q23*4+P23*9+O23*4</f>
        <v>42.84</v>
      </c>
      <c r="S23" s="46">
        <v>7.5</v>
      </c>
      <c r="T23" s="129"/>
      <c r="U23" s="41"/>
      <c r="V23" s="34">
        <v>67</v>
      </c>
      <c r="W23" s="34" t="s">
        <v>90</v>
      </c>
      <c r="X23" s="34">
        <v>180</v>
      </c>
      <c r="Y23" s="46">
        <v>1.32</v>
      </c>
      <c r="Z23" s="46">
        <v>3.97</v>
      </c>
      <c r="AA23" s="46">
        <v>8.9700000000000006</v>
      </c>
      <c r="AB23" s="46">
        <f>AA23*4+Z23*9+Y23*4</f>
        <v>76.890000000000015</v>
      </c>
      <c r="AC23" s="46">
        <v>8.64</v>
      </c>
      <c r="AD23" s="129"/>
      <c r="AE23" s="41"/>
      <c r="AF23" s="34"/>
      <c r="AG23" s="34" t="s">
        <v>159</v>
      </c>
      <c r="AH23" s="34">
        <v>40</v>
      </c>
      <c r="AI23" s="46">
        <v>0.24</v>
      </c>
      <c r="AJ23" s="46">
        <v>0.08</v>
      </c>
      <c r="AK23" s="46">
        <v>1.6</v>
      </c>
      <c r="AL23" s="46">
        <f>AK23*4+AJ23*9+AI23*4</f>
        <v>8.08</v>
      </c>
      <c r="AM23" s="43">
        <v>3.6</v>
      </c>
      <c r="AN23" s="129"/>
      <c r="AO23" s="41"/>
      <c r="AP23" s="34">
        <v>15</v>
      </c>
      <c r="AQ23" s="34" t="s">
        <v>97</v>
      </c>
      <c r="AR23" s="37">
        <v>40</v>
      </c>
      <c r="AS23" s="46">
        <f>9.64*40/1000</f>
        <v>0.3856</v>
      </c>
      <c r="AT23" s="46">
        <f>61.37*40/1000</f>
        <v>2.4547999999999996</v>
      </c>
      <c r="AU23" s="46">
        <f>30.83*40/1000</f>
        <v>1.2331999999999999</v>
      </c>
      <c r="AV23" s="46">
        <f>AU23*4+AT23*9+AS23*4</f>
        <v>28.568399999999997</v>
      </c>
      <c r="AW23" s="46">
        <f>191*40/1000</f>
        <v>7.64</v>
      </c>
      <c r="AX23" s="129"/>
      <c r="AY23" s="41"/>
      <c r="AZ23" s="34" t="s">
        <v>47</v>
      </c>
      <c r="BA23" s="34" t="s">
        <v>135</v>
      </c>
      <c r="BB23" s="34">
        <v>40</v>
      </c>
      <c r="BC23" s="46">
        <v>0.24</v>
      </c>
      <c r="BD23" s="46">
        <v>0.08</v>
      </c>
      <c r="BE23" s="46">
        <v>1.6</v>
      </c>
      <c r="BF23" s="46">
        <f>BE23*4+BD23*9+BC23*4</f>
        <v>8.08</v>
      </c>
      <c r="BG23" s="43">
        <v>3.6</v>
      </c>
      <c r="BH23" s="115"/>
      <c r="BI23" s="41"/>
      <c r="BJ23" s="108">
        <v>84</v>
      </c>
      <c r="BK23" s="109" t="s">
        <v>191</v>
      </c>
      <c r="BL23" s="108">
        <v>180</v>
      </c>
      <c r="BM23" s="46">
        <v>6.24</v>
      </c>
      <c r="BN23" s="46">
        <v>2.34</v>
      </c>
      <c r="BO23" s="46">
        <v>11.53</v>
      </c>
      <c r="BP23" s="46">
        <f>BO23*4+BN23*9+BM23*4</f>
        <v>92.139999999999986</v>
      </c>
      <c r="BQ23" s="46">
        <f>44.74*180/1000</f>
        <v>8.0532000000000004</v>
      </c>
      <c r="BR23" s="115"/>
      <c r="BS23" s="41"/>
      <c r="BT23" s="34">
        <v>38</v>
      </c>
      <c r="BU23" s="34" t="s">
        <v>125</v>
      </c>
      <c r="BV23" s="34">
        <v>40</v>
      </c>
      <c r="BW23" s="46">
        <v>0.24</v>
      </c>
      <c r="BX23" s="46">
        <v>0.08</v>
      </c>
      <c r="BY23" s="46">
        <v>1.6</v>
      </c>
      <c r="BZ23" s="46">
        <f>BY23*4+BX23*9+BW23*4</f>
        <v>8.08</v>
      </c>
      <c r="CA23" s="43">
        <v>3.6</v>
      </c>
      <c r="CB23" s="115"/>
      <c r="CC23" s="41"/>
      <c r="CD23" s="34">
        <v>12</v>
      </c>
      <c r="CE23" s="34" t="s">
        <v>194</v>
      </c>
      <c r="CF23" s="34">
        <v>40</v>
      </c>
      <c r="CG23" s="46">
        <v>1.1499999999999999</v>
      </c>
      <c r="CH23" s="46">
        <v>2.4700000000000002</v>
      </c>
      <c r="CI23" s="46">
        <v>3.21</v>
      </c>
      <c r="CJ23" s="46">
        <f>CI23*4+CH23*9+CG23*4</f>
        <v>39.67</v>
      </c>
      <c r="CK23" s="46">
        <v>3.72</v>
      </c>
      <c r="CL23" s="115"/>
      <c r="CM23" s="41"/>
      <c r="CN23" s="34">
        <v>16</v>
      </c>
      <c r="CO23" s="34" t="s">
        <v>81</v>
      </c>
      <c r="CP23" s="34">
        <v>40</v>
      </c>
      <c r="CQ23" s="60">
        <v>0.49</v>
      </c>
      <c r="CR23" s="60">
        <v>2.08</v>
      </c>
      <c r="CS23" s="60">
        <v>2.58</v>
      </c>
      <c r="CT23" s="46">
        <f>CS23*4+CR23*9+CQ23*4</f>
        <v>31</v>
      </c>
      <c r="CU23" s="47">
        <v>7.48</v>
      </c>
      <c r="CV23" s="129"/>
    </row>
    <row r="24" spans="1:162" x14ac:dyDescent="0.3">
      <c r="B24" s="34">
        <v>82</v>
      </c>
      <c r="C24" s="34" t="s">
        <v>45</v>
      </c>
      <c r="D24" s="34">
        <v>180</v>
      </c>
      <c r="E24" s="46">
        <v>3.24</v>
      </c>
      <c r="F24" s="46">
        <v>2.57</v>
      </c>
      <c r="G24" s="46">
        <v>12.29</v>
      </c>
      <c r="H24" s="46">
        <f t="shared" ref="H24:H27" si="24">G24*4+F24*9+E24*4</f>
        <v>85.25</v>
      </c>
      <c r="I24" s="43">
        <v>5.9</v>
      </c>
      <c r="J24" s="129"/>
      <c r="K24" s="41"/>
      <c r="L24" s="34">
        <v>76</v>
      </c>
      <c r="M24" s="34" t="s">
        <v>41</v>
      </c>
      <c r="N24" s="34">
        <v>180</v>
      </c>
      <c r="O24" s="46">
        <v>1.68</v>
      </c>
      <c r="P24" s="46">
        <v>4.09</v>
      </c>
      <c r="Q24" s="46">
        <v>13.27</v>
      </c>
      <c r="R24" s="46">
        <f t="shared" ref="R24:R28" si="25">Q24*4+P24*9+O24*4</f>
        <v>96.61</v>
      </c>
      <c r="S24" s="46">
        <v>6.03</v>
      </c>
      <c r="T24" s="129"/>
      <c r="U24" s="41"/>
      <c r="V24" s="34"/>
      <c r="W24" s="34" t="s">
        <v>107</v>
      </c>
      <c r="X24" s="34">
        <v>60</v>
      </c>
      <c r="Y24" s="46">
        <v>9.7899999999999991</v>
      </c>
      <c r="Z24" s="46">
        <v>10.82</v>
      </c>
      <c r="AA24" s="46">
        <v>2.79</v>
      </c>
      <c r="AB24" s="46">
        <f t="shared" ref="AB24:AB28" si="26">AA24*4+Z24*9+Y24*4</f>
        <v>147.69999999999999</v>
      </c>
      <c r="AC24" s="46">
        <v>0.08</v>
      </c>
      <c r="AD24" s="129"/>
      <c r="AE24" s="41"/>
      <c r="AF24" s="34">
        <v>81</v>
      </c>
      <c r="AG24" s="34" t="s">
        <v>160</v>
      </c>
      <c r="AH24" s="34">
        <v>180</v>
      </c>
      <c r="AI24" s="34">
        <v>3.95</v>
      </c>
      <c r="AJ24" s="34">
        <v>3.79</v>
      </c>
      <c r="AK24" s="34">
        <v>11.74</v>
      </c>
      <c r="AL24" s="46">
        <f t="shared" ref="AL24:AL29" si="27">AK24*4+AJ24*9+AI24*4</f>
        <v>96.86999999999999</v>
      </c>
      <c r="AM24" s="34">
        <v>4.18</v>
      </c>
      <c r="AN24" s="129"/>
      <c r="AO24" s="41"/>
      <c r="AP24" s="59">
        <v>57</v>
      </c>
      <c r="AQ24" s="59" t="s">
        <v>48</v>
      </c>
      <c r="AR24" s="106">
        <v>150</v>
      </c>
      <c r="AS24" s="46">
        <f>7.27*150/1000</f>
        <v>1.0905</v>
      </c>
      <c r="AT24" s="46">
        <f>19.64*150/1000</f>
        <v>2.9460000000000002</v>
      </c>
      <c r="AU24" s="46">
        <f>50.97*150/1000</f>
        <v>7.6455000000000002</v>
      </c>
      <c r="AV24" s="46">
        <f t="shared" ref="AV24:AV29" si="28">AU24*4+AT24*9+AS24*4</f>
        <v>61.458000000000006</v>
      </c>
      <c r="AW24" s="43">
        <f>41.15*150/1000</f>
        <v>6.1725000000000003</v>
      </c>
      <c r="AX24" s="129"/>
      <c r="AY24" s="41"/>
      <c r="AZ24" s="34">
        <v>85</v>
      </c>
      <c r="BA24" s="34" t="s">
        <v>102</v>
      </c>
      <c r="BB24" s="34">
        <v>150</v>
      </c>
      <c r="BC24" s="46">
        <v>1.85</v>
      </c>
      <c r="BD24" s="46">
        <v>2.5099999999999998</v>
      </c>
      <c r="BE24" s="46">
        <v>10.15</v>
      </c>
      <c r="BF24" s="46">
        <f t="shared" ref="BF24:BF29" si="29">BE24*4+BD24*9+BC24*4</f>
        <v>70.59</v>
      </c>
      <c r="BG24" s="46">
        <f>23*150/1000</f>
        <v>3.45</v>
      </c>
      <c r="BH24" s="115"/>
      <c r="BI24" s="41"/>
      <c r="BJ24" s="34"/>
      <c r="BK24" s="34" t="s">
        <v>192</v>
      </c>
      <c r="BL24" s="34">
        <v>60</v>
      </c>
      <c r="BM24" s="46">
        <v>16.670000000000002</v>
      </c>
      <c r="BN24" s="46">
        <v>6.27</v>
      </c>
      <c r="BO24" s="46">
        <v>16.21</v>
      </c>
      <c r="BP24" s="46">
        <f t="shared" ref="BP24:BP27" si="30">BO24*4+BN24*9+BM24*4</f>
        <v>187.95</v>
      </c>
      <c r="BQ24" s="46">
        <v>0.3</v>
      </c>
      <c r="BR24" s="115"/>
      <c r="BS24" s="41"/>
      <c r="BT24" s="34">
        <v>83</v>
      </c>
      <c r="BU24" s="34" t="s">
        <v>193</v>
      </c>
      <c r="BV24" s="34">
        <v>180</v>
      </c>
      <c r="BW24" s="46">
        <v>5.01</v>
      </c>
      <c r="BX24" s="46">
        <v>3.85</v>
      </c>
      <c r="BY24" s="46">
        <v>11.03</v>
      </c>
      <c r="BZ24" s="46">
        <f t="shared" ref="BZ24:BZ28" si="31">BY24*4+BX24*9+BW24*4</f>
        <v>98.81</v>
      </c>
      <c r="CA24" s="46">
        <f>44.8*180/1000</f>
        <v>8.0639999999999983</v>
      </c>
      <c r="CB24" s="115"/>
      <c r="CC24" s="41"/>
      <c r="CD24" s="34">
        <v>57</v>
      </c>
      <c r="CE24" s="34" t="s">
        <v>113</v>
      </c>
      <c r="CF24" s="34">
        <v>180</v>
      </c>
      <c r="CG24" s="46">
        <v>1.1599999999999999</v>
      </c>
      <c r="CH24" s="46">
        <v>3.48</v>
      </c>
      <c r="CI24" s="46">
        <v>7.86</v>
      </c>
      <c r="CJ24" s="46">
        <f t="shared" ref="CJ24:CJ28" si="32">CI24*4+CH24*9+CG24*4</f>
        <v>67.400000000000006</v>
      </c>
      <c r="CK24" s="46">
        <v>7.58</v>
      </c>
      <c r="CL24" s="115"/>
      <c r="CM24" s="41"/>
      <c r="CN24" s="34">
        <v>75</v>
      </c>
      <c r="CO24" s="34" t="s">
        <v>39</v>
      </c>
      <c r="CP24" s="34">
        <v>180</v>
      </c>
      <c r="CQ24" s="46">
        <v>1.87</v>
      </c>
      <c r="CR24" s="46">
        <v>4.5599999999999996</v>
      </c>
      <c r="CS24" s="46">
        <f>59.09*180/1000</f>
        <v>10.636200000000001</v>
      </c>
      <c r="CT24" s="46">
        <f t="shared" ref="CT24:CT29" si="33">CS24*4+CR24*9+CQ24*4</f>
        <v>91.064800000000005</v>
      </c>
      <c r="CU24" s="43">
        <f>47.25*180/1000</f>
        <v>8.5050000000000008</v>
      </c>
      <c r="CV24" s="129"/>
    </row>
    <row r="25" spans="1:162" x14ac:dyDescent="0.3">
      <c r="B25" s="23"/>
      <c r="C25" s="23" t="s">
        <v>99</v>
      </c>
      <c r="D25" s="23">
        <v>180</v>
      </c>
      <c r="E25" s="60">
        <v>22.5</v>
      </c>
      <c r="F25" s="60">
        <v>6.11</v>
      </c>
      <c r="G25" s="60">
        <v>17.95</v>
      </c>
      <c r="H25" s="46">
        <f t="shared" si="24"/>
        <v>216.79</v>
      </c>
      <c r="I25" s="47"/>
      <c r="J25" s="129"/>
      <c r="K25" s="41"/>
      <c r="L25" s="34">
        <v>302</v>
      </c>
      <c r="M25" s="34" t="s">
        <v>109</v>
      </c>
      <c r="N25" s="34">
        <v>130</v>
      </c>
      <c r="O25" s="46">
        <v>12.17</v>
      </c>
      <c r="P25" s="46">
        <v>4.58</v>
      </c>
      <c r="Q25" s="46">
        <v>20.37</v>
      </c>
      <c r="R25" s="46">
        <f t="shared" si="25"/>
        <v>171.38</v>
      </c>
      <c r="S25" s="46">
        <v>9.7100000000000009</v>
      </c>
      <c r="T25" s="129"/>
      <c r="U25" s="41"/>
      <c r="V25" s="34">
        <v>320</v>
      </c>
      <c r="W25" s="34" t="s">
        <v>188</v>
      </c>
      <c r="X25" s="34">
        <v>110</v>
      </c>
      <c r="Y25" s="34">
        <v>1.44</v>
      </c>
      <c r="Z25" s="34">
        <v>2.84</v>
      </c>
      <c r="AA25" s="34">
        <v>5.69</v>
      </c>
      <c r="AB25" s="46">
        <f t="shared" si="26"/>
        <v>54.08</v>
      </c>
      <c r="AC25" s="34">
        <v>4.0599999999999996</v>
      </c>
      <c r="AD25" s="129"/>
      <c r="AE25" s="41"/>
      <c r="AF25" s="34">
        <v>284</v>
      </c>
      <c r="AG25" s="34" t="s">
        <v>161</v>
      </c>
      <c r="AH25" s="34">
        <v>80</v>
      </c>
      <c r="AI25" s="46">
        <v>6.12</v>
      </c>
      <c r="AJ25" s="46">
        <v>7.92</v>
      </c>
      <c r="AK25" s="46">
        <v>11.47</v>
      </c>
      <c r="AL25" s="46">
        <f t="shared" si="27"/>
        <v>141.63999999999999</v>
      </c>
      <c r="AM25" s="46">
        <v>4.09</v>
      </c>
      <c r="AN25" s="129"/>
      <c r="AO25" s="41"/>
      <c r="AP25" s="34"/>
      <c r="AQ25" s="34" t="s">
        <v>127</v>
      </c>
      <c r="AR25" s="50">
        <v>60</v>
      </c>
      <c r="AS25" s="46">
        <v>8.3000000000000007</v>
      </c>
      <c r="AT25" s="46">
        <v>5.6</v>
      </c>
      <c r="AU25" s="46">
        <v>5.2</v>
      </c>
      <c r="AV25" s="46">
        <f t="shared" si="28"/>
        <v>104.4</v>
      </c>
      <c r="AW25" s="43"/>
      <c r="AX25" s="129"/>
      <c r="AY25" s="41"/>
      <c r="AZ25" s="34"/>
      <c r="BA25" s="34" t="s">
        <v>91</v>
      </c>
      <c r="BB25" s="34">
        <v>60</v>
      </c>
      <c r="BC25" s="34">
        <v>7.76</v>
      </c>
      <c r="BD25" s="34">
        <v>8.9</v>
      </c>
      <c r="BE25" s="34">
        <v>4.59</v>
      </c>
      <c r="BF25" s="46">
        <f t="shared" si="29"/>
        <v>129.5</v>
      </c>
      <c r="BG25" s="34">
        <v>0.71</v>
      </c>
      <c r="BH25" s="115"/>
      <c r="BI25" s="41"/>
      <c r="BJ25" s="34">
        <v>322</v>
      </c>
      <c r="BK25" s="34" t="s">
        <v>93</v>
      </c>
      <c r="BL25" s="34">
        <v>110</v>
      </c>
      <c r="BM25" s="46">
        <v>2.14</v>
      </c>
      <c r="BN25" s="46">
        <v>3.38</v>
      </c>
      <c r="BO25" s="46">
        <v>13.21</v>
      </c>
      <c r="BP25" s="46">
        <f t="shared" si="30"/>
        <v>91.820000000000007</v>
      </c>
      <c r="BQ25" s="46">
        <v>11.55</v>
      </c>
      <c r="BR25" s="115"/>
      <c r="BS25" s="41"/>
      <c r="BT25" s="34"/>
      <c r="BU25" s="34" t="s">
        <v>116</v>
      </c>
      <c r="BV25" s="34">
        <v>60</v>
      </c>
      <c r="BW25" s="46">
        <v>10.59</v>
      </c>
      <c r="BX25" s="46">
        <v>4.1500000000000004</v>
      </c>
      <c r="BY25" s="46">
        <v>0.51</v>
      </c>
      <c r="BZ25" s="46">
        <f t="shared" si="31"/>
        <v>81.75</v>
      </c>
      <c r="CA25" s="46">
        <v>0.3</v>
      </c>
      <c r="CB25" s="115"/>
      <c r="CC25" s="41"/>
      <c r="CD25" s="34"/>
      <c r="CE25" s="34" t="s">
        <v>183</v>
      </c>
      <c r="CF25" s="34">
        <v>160</v>
      </c>
      <c r="CG25" s="46">
        <v>16</v>
      </c>
      <c r="CH25" s="46">
        <v>14.78</v>
      </c>
      <c r="CI25" s="46">
        <v>26.76</v>
      </c>
      <c r="CJ25" s="46">
        <f t="shared" si="32"/>
        <v>304.06</v>
      </c>
      <c r="CK25" s="46">
        <f>0.41*180/160</f>
        <v>0.46124999999999999</v>
      </c>
      <c r="CL25" s="115"/>
      <c r="CM25" s="41"/>
      <c r="CN25" s="34"/>
      <c r="CO25" s="34" t="s">
        <v>100</v>
      </c>
      <c r="CP25" s="34">
        <v>60</v>
      </c>
      <c r="CQ25" s="46">
        <v>8.93</v>
      </c>
      <c r="CR25" s="46">
        <v>6.74</v>
      </c>
      <c r="CS25" s="46">
        <v>8.9700000000000006</v>
      </c>
      <c r="CT25" s="46">
        <f t="shared" si="33"/>
        <v>132.26</v>
      </c>
      <c r="CU25" s="43"/>
      <c r="CV25" s="129"/>
    </row>
    <row r="26" spans="1:162" x14ac:dyDescent="0.3">
      <c r="B26" s="34">
        <v>379</v>
      </c>
      <c r="C26" s="34" t="s">
        <v>133</v>
      </c>
      <c r="D26" s="34">
        <v>180</v>
      </c>
      <c r="E26" s="60">
        <v>0.14000000000000001</v>
      </c>
      <c r="F26" s="60">
        <v>0.14000000000000001</v>
      </c>
      <c r="G26" s="105">
        <v>21.49</v>
      </c>
      <c r="H26" s="46">
        <f t="shared" si="24"/>
        <v>87.78</v>
      </c>
      <c r="I26" s="47">
        <v>1.55</v>
      </c>
      <c r="J26" s="129"/>
      <c r="K26" s="41"/>
      <c r="L26" s="34">
        <v>373</v>
      </c>
      <c r="M26" s="34" t="s">
        <v>137</v>
      </c>
      <c r="N26" s="34">
        <v>150</v>
      </c>
      <c r="O26" s="46">
        <f>1.2*150/1000</f>
        <v>0.18</v>
      </c>
      <c r="P26" s="46">
        <f>0.7*150/1000</f>
        <v>0.105</v>
      </c>
      <c r="Q26" s="46">
        <f>139.16*150/1000</f>
        <v>20.873999999999999</v>
      </c>
      <c r="R26" s="46">
        <f t="shared" si="25"/>
        <v>85.160999999999987</v>
      </c>
      <c r="S26" s="46">
        <f>8.6*150/1000</f>
        <v>1.29</v>
      </c>
      <c r="T26" s="129"/>
      <c r="U26" s="41"/>
      <c r="V26" s="34">
        <v>373</v>
      </c>
      <c r="W26" s="34" t="s">
        <v>137</v>
      </c>
      <c r="X26" s="34">
        <v>150</v>
      </c>
      <c r="Y26" s="46">
        <v>0.18</v>
      </c>
      <c r="Z26" s="46">
        <v>0.11</v>
      </c>
      <c r="AA26" s="46">
        <v>20.87</v>
      </c>
      <c r="AB26" s="46">
        <f t="shared" si="26"/>
        <v>85.19</v>
      </c>
      <c r="AC26" s="46">
        <f>8.6*150/1000</f>
        <v>1.29</v>
      </c>
      <c r="AD26" s="129"/>
      <c r="AE26" s="41"/>
      <c r="AF26" s="34">
        <v>318</v>
      </c>
      <c r="AG26" s="34" t="s">
        <v>46</v>
      </c>
      <c r="AH26" s="34">
        <v>120</v>
      </c>
      <c r="AI26" s="34">
        <v>1.53</v>
      </c>
      <c r="AJ26" s="34">
        <v>2.2999999999999998</v>
      </c>
      <c r="AK26" s="34">
        <v>12.27</v>
      </c>
      <c r="AL26" s="46">
        <f t="shared" si="27"/>
        <v>75.900000000000006</v>
      </c>
      <c r="AM26" s="34">
        <v>11.2</v>
      </c>
      <c r="AN26" s="129"/>
      <c r="AO26" s="41"/>
      <c r="AP26" s="34">
        <v>205</v>
      </c>
      <c r="AQ26" s="34" t="s">
        <v>92</v>
      </c>
      <c r="AR26" s="34">
        <v>120</v>
      </c>
      <c r="AS26" s="34">
        <v>6.2</v>
      </c>
      <c r="AT26" s="34">
        <v>6.25</v>
      </c>
      <c r="AU26" s="34">
        <v>30</v>
      </c>
      <c r="AV26" s="46">
        <f t="shared" si="28"/>
        <v>201.05</v>
      </c>
      <c r="AW26" s="43"/>
      <c r="AX26" s="129"/>
      <c r="AY26" s="41"/>
      <c r="AZ26" s="34">
        <v>336</v>
      </c>
      <c r="BA26" s="34" t="s">
        <v>171</v>
      </c>
      <c r="BB26" s="34">
        <v>100</v>
      </c>
      <c r="BC26" s="46">
        <v>1.85</v>
      </c>
      <c r="BD26" s="46">
        <v>3.22</v>
      </c>
      <c r="BE26" s="46">
        <v>7.19</v>
      </c>
      <c r="BF26" s="46">
        <f t="shared" si="29"/>
        <v>65.14</v>
      </c>
      <c r="BG26" s="34">
        <v>10.26</v>
      </c>
      <c r="BH26" s="115"/>
      <c r="BI26" s="41"/>
      <c r="BJ26" s="34">
        <v>372</v>
      </c>
      <c r="BK26" s="34" t="s">
        <v>137</v>
      </c>
      <c r="BL26" s="34">
        <v>180</v>
      </c>
      <c r="BM26" s="46">
        <f>0.8*150/1000</f>
        <v>0.12</v>
      </c>
      <c r="BN26" s="46">
        <f>0.6*150/1000</f>
        <v>0.09</v>
      </c>
      <c r="BO26" s="46">
        <v>10.029999999999999</v>
      </c>
      <c r="BP26" s="46">
        <f t="shared" si="30"/>
        <v>41.41</v>
      </c>
      <c r="BQ26" s="46">
        <f>4.3*150/1000</f>
        <v>0.64500000000000002</v>
      </c>
      <c r="BR26" s="115"/>
      <c r="BS26" s="41"/>
      <c r="BT26" s="34">
        <v>342</v>
      </c>
      <c r="BU26" s="34" t="s">
        <v>180</v>
      </c>
      <c r="BV26" s="34">
        <v>130</v>
      </c>
      <c r="BW26" s="46">
        <v>3.17</v>
      </c>
      <c r="BX26" s="46">
        <v>12.69</v>
      </c>
      <c r="BY26" s="46">
        <v>13.44</v>
      </c>
      <c r="BZ26" s="46">
        <f t="shared" si="31"/>
        <v>180.65</v>
      </c>
      <c r="CA26" s="46">
        <v>9.39</v>
      </c>
      <c r="CB26" s="115"/>
      <c r="CC26" s="41"/>
      <c r="CD26" s="34">
        <v>376</v>
      </c>
      <c r="CE26" s="34" t="s">
        <v>184</v>
      </c>
      <c r="CF26" s="34">
        <v>150</v>
      </c>
      <c r="CG26" s="46">
        <f>2.2*150/1000</f>
        <v>0.33</v>
      </c>
      <c r="CH26" s="46">
        <f>0.1*150/1000</f>
        <v>1.4999999999999999E-2</v>
      </c>
      <c r="CI26" s="46">
        <f>138.84*150/1000</f>
        <v>20.826000000000001</v>
      </c>
      <c r="CJ26" s="46">
        <f t="shared" si="32"/>
        <v>84.759</v>
      </c>
      <c r="CK26" s="46">
        <f>2*150/1000</f>
        <v>0.3</v>
      </c>
      <c r="CL26" s="115"/>
      <c r="CM26" s="41"/>
      <c r="CN26" s="34">
        <v>336</v>
      </c>
      <c r="CO26" s="34" t="s">
        <v>171</v>
      </c>
      <c r="CP26" s="34">
        <v>100</v>
      </c>
      <c r="CQ26" s="46">
        <f>18.47*100/1000</f>
        <v>1.847</v>
      </c>
      <c r="CR26" s="46">
        <f>32.24*100/1000</f>
        <v>3.2240000000000002</v>
      </c>
      <c r="CS26" s="46">
        <f>71.9*100/1000</f>
        <v>7.1900000000000013</v>
      </c>
      <c r="CT26" s="46">
        <f t="shared" si="33"/>
        <v>65.164000000000016</v>
      </c>
      <c r="CU26" s="43">
        <f>102.59*100/1000</f>
        <v>10.259</v>
      </c>
      <c r="CV26" s="129"/>
    </row>
    <row r="27" spans="1:162" x14ac:dyDescent="0.3">
      <c r="B27" s="23"/>
      <c r="C27" s="104" t="s">
        <v>146</v>
      </c>
      <c r="D27" s="23">
        <v>40</v>
      </c>
      <c r="E27" s="46">
        <v>2.67</v>
      </c>
      <c r="F27" s="46">
        <v>0.28000000000000003</v>
      </c>
      <c r="G27" s="46">
        <v>13.36</v>
      </c>
      <c r="H27" s="46">
        <f t="shared" si="24"/>
        <v>66.64</v>
      </c>
      <c r="I27" s="47"/>
      <c r="J27" s="129"/>
      <c r="K27" s="41"/>
      <c r="L27" s="34"/>
      <c r="M27" s="34" t="s">
        <v>146</v>
      </c>
      <c r="N27" s="34">
        <v>20</v>
      </c>
      <c r="O27" s="46">
        <v>1.32</v>
      </c>
      <c r="P27" s="46">
        <v>0.75</v>
      </c>
      <c r="Q27" s="46">
        <v>6.68</v>
      </c>
      <c r="R27" s="46">
        <f t="shared" si="25"/>
        <v>38.75</v>
      </c>
      <c r="S27" s="46"/>
      <c r="T27" s="129"/>
      <c r="U27" s="41"/>
      <c r="V27" s="34"/>
      <c r="W27" s="34" t="s">
        <v>146</v>
      </c>
      <c r="X27" s="34">
        <v>20</v>
      </c>
      <c r="Y27" s="46">
        <v>1.32</v>
      </c>
      <c r="Z27" s="46">
        <v>0.75</v>
      </c>
      <c r="AA27" s="46">
        <v>6.68</v>
      </c>
      <c r="AB27" s="46">
        <f t="shared" si="26"/>
        <v>38.75</v>
      </c>
      <c r="AC27" s="46"/>
      <c r="AD27" s="129"/>
      <c r="AE27" s="41"/>
      <c r="AF27" s="34">
        <v>372</v>
      </c>
      <c r="AG27" s="34" t="s">
        <v>137</v>
      </c>
      <c r="AH27" s="34">
        <v>180</v>
      </c>
      <c r="AI27" s="34">
        <v>0.12</v>
      </c>
      <c r="AJ27" s="34">
        <v>0.09</v>
      </c>
      <c r="AK27" s="34">
        <v>10.029999999999999</v>
      </c>
      <c r="AL27" s="46">
        <f t="shared" si="27"/>
        <v>41.41</v>
      </c>
      <c r="AM27" s="34">
        <v>0.65</v>
      </c>
      <c r="AN27" s="129"/>
      <c r="AO27" s="41"/>
      <c r="AP27" s="34">
        <v>372</v>
      </c>
      <c r="AQ27" s="34" t="s">
        <v>137</v>
      </c>
      <c r="AR27" s="50">
        <v>180</v>
      </c>
      <c r="AS27" s="34">
        <v>0.12</v>
      </c>
      <c r="AT27" s="34">
        <v>0.09</v>
      </c>
      <c r="AU27" s="34">
        <v>10.029999999999999</v>
      </c>
      <c r="AV27" s="46">
        <f t="shared" si="28"/>
        <v>41.41</v>
      </c>
      <c r="AW27" s="34">
        <v>0.65</v>
      </c>
      <c r="AX27" s="129"/>
      <c r="AY27" s="41"/>
      <c r="AZ27" s="34">
        <v>382</v>
      </c>
      <c r="BA27" s="34" t="s">
        <v>187</v>
      </c>
      <c r="BB27" s="34">
        <v>150</v>
      </c>
      <c r="BC27" s="46">
        <v>3.15</v>
      </c>
      <c r="BD27" s="46">
        <v>2.8</v>
      </c>
      <c r="BE27" s="46">
        <v>22.8</v>
      </c>
      <c r="BF27" s="46">
        <f t="shared" si="29"/>
        <v>129</v>
      </c>
      <c r="BG27" s="46">
        <v>1.07</v>
      </c>
      <c r="BH27" s="115"/>
      <c r="BI27" s="41"/>
      <c r="BJ27" s="34"/>
      <c r="BK27" s="34" t="s">
        <v>146</v>
      </c>
      <c r="BL27" s="34">
        <v>40</v>
      </c>
      <c r="BM27" s="46">
        <v>2.64</v>
      </c>
      <c r="BN27" s="46">
        <v>1.5</v>
      </c>
      <c r="BO27" s="46">
        <v>13.36</v>
      </c>
      <c r="BP27" s="46">
        <f t="shared" si="30"/>
        <v>77.5</v>
      </c>
      <c r="BQ27" s="46"/>
      <c r="BR27" s="115"/>
      <c r="BS27" s="41"/>
      <c r="BT27" s="34">
        <v>378</v>
      </c>
      <c r="BU27" s="34" t="s">
        <v>179</v>
      </c>
      <c r="BV27" s="34">
        <v>180</v>
      </c>
      <c r="BW27" s="46">
        <v>0.13</v>
      </c>
      <c r="BX27" s="46">
        <v>0.04</v>
      </c>
      <c r="BY27" s="46">
        <v>24.73</v>
      </c>
      <c r="BZ27" s="46">
        <f t="shared" si="31"/>
        <v>99.8</v>
      </c>
      <c r="CA27" s="46">
        <v>1.65</v>
      </c>
      <c r="CB27" s="115"/>
      <c r="CC27" s="41"/>
      <c r="CD27" s="34"/>
      <c r="CE27" s="34" t="s">
        <v>32</v>
      </c>
      <c r="CF27" s="34">
        <v>25</v>
      </c>
      <c r="CG27" s="60">
        <v>1.97</v>
      </c>
      <c r="CH27" s="60">
        <v>0.25</v>
      </c>
      <c r="CI27" s="60">
        <v>12.07</v>
      </c>
      <c r="CJ27" s="46">
        <f t="shared" si="32"/>
        <v>58.410000000000004</v>
      </c>
      <c r="CK27" s="60">
        <v>0.54</v>
      </c>
      <c r="CL27" s="115"/>
      <c r="CM27" s="41"/>
      <c r="CN27" s="34">
        <v>376</v>
      </c>
      <c r="CO27" s="34" t="s">
        <v>197</v>
      </c>
      <c r="CP27" s="34">
        <v>150</v>
      </c>
      <c r="CQ27" s="46">
        <v>0.33</v>
      </c>
      <c r="CR27" s="46">
        <v>0.02</v>
      </c>
      <c r="CS27" s="46">
        <v>20.83</v>
      </c>
      <c r="CT27" s="46">
        <f t="shared" si="33"/>
        <v>84.82</v>
      </c>
      <c r="CU27" s="43">
        <v>0.3</v>
      </c>
      <c r="CV27" s="129"/>
    </row>
    <row r="28" spans="1:162" x14ac:dyDescent="0.3">
      <c r="E28" s="47"/>
      <c r="F28" s="47"/>
      <c r="G28" s="47"/>
      <c r="H28" s="47"/>
      <c r="I28" s="47"/>
      <c r="J28" s="129"/>
      <c r="K28" s="41"/>
      <c r="L28" s="34"/>
      <c r="M28" s="34" t="s">
        <v>32</v>
      </c>
      <c r="N28" s="34">
        <v>30</v>
      </c>
      <c r="O28" s="46">
        <v>2.37</v>
      </c>
      <c r="P28" s="46">
        <v>0.3</v>
      </c>
      <c r="Q28" s="46">
        <v>14.49</v>
      </c>
      <c r="R28" s="46">
        <f t="shared" si="25"/>
        <v>70.14</v>
      </c>
      <c r="S28" s="46"/>
      <c r="T28" s="129"/>
      <c r="U28" s="41"/>
      <c r="V28" s="34"/>
      <c r="W28" s="34" t="s">
        <v>32</v>
      </c>
      <c r="X28" s="34">
        <v>25</v>
      </c>
      <c r="Y28" s="43">
        <v>1.97</v>
      </c>
      <c r="Z28" s="43">
        <v>0.25</v>
      </c>
      <c r="AA28" s="43">
        <v>12.07</v>
      </c>
      <c r="AB28" s="46">
        <f t="shared" si="26"/>
        <v>58.410000000000004</v>
      </c>
      <c r="AC28" s="43"/>
      <c r="AD28" s="129"/>
      <c r="AE28" s="41"/>
      <c r="AF28" s="34"/>
      <c r="AG28" s="34" t="s">
        <v>146</v>
      </c>
      <c r="AH28" s="34">
        <v>20</v>
      </c>
      <c r="AI28" s="46">
        <v>1.32</v>
      </c>
      <c r="AJ28" s="46">
        <v>0.75</v>
      </c>
      <c r="AK28" s="46">
        <v>6.68</v>
      </c>
      <c r="AL28" s="46">
        <f t="shared" si="27"/>
        <v>38.75</v>
      </c>
      <c r="AM28" s="46"/>
      <c r="AN28" s="129"/>
      <c r="AO28" s="41"/>
      <c r="AP28" s="34"/>
      <c r="AQ28" s="34" t="s">
        <v>146</v>
      </c>
      <c r="AR28" s="34">
        <v>20</v>
      </c>
      <c r="AS28" s="46">
        <v>1.32</v>
      </c>
      <c r="AT28" s="46">
        <v>0.75</v>
      </c>
      <c r="AU28" s="46">
        <v>6.68</v>
      </c>
      <c r="AV28" s="46">
        <f t="shared" si="28"/>
        <v>38.75</v>
      </c>
      <c r="AW28" s="43"/>
      <c r="AX28" s="129"/>
      <c r="AY28" s="41"/>
      <c r="AZ28" s="34"/>
      <c r="BA28" s="34" t="s">
        <v>32</v>
      </c>
      <c r="BB28" s="34">
        <v>25</v>
      </c>
      <c r="BC28" s="46">
        <v>1.97</v>
      </c>
      <c r="BD28" s="46">
        <v>0.25</v>
      </c>
      <c r="BE28" s="46">
        <v>12.07</v>
      </c>
      <c r="BF28" s="46">
        <f t="shared" si="29"/>
        <v>58.410000000000004</v>
      </c>
      <c r="BG28" s="46"/>
      <c r="BH28" s="115"/>
      <c r="BI28" s="41"/>
      <c r="BJ28" s="34"/>
      <c r="BK28" s="34"/>
      <c r="BL28" s="34"/>
      <c r="BM28" s="43"/>
      <c r="BN28" s="43"/>
      <c r="BO28" s="43"/>
      <c r="BP28" s="43"/>
      <c r="BQ28" s="43"/>
      <c r="BR28" s="115"/>
      <c r="BS28" s="41"/>
      <c r="BT28" s="34"/>
      <c r="BU28" s="34" t="s">
        <v>146</v>
      </c>
      <c r="BV28" s="34">
        <v>40</v>
      </c>
      <c r="BW28" s="46">
        <v>2.64</v>
      </c>
      <c r="BX28" s="46">
        <v>1.5</v>
      </c>
      <c r="BY28" s="46">
        <v>13.36</v>
      </c>
      <c r="BZ28" s="46">
        <f t="shared" si="31"/>
        <v>77.5</v>
      </c>
      <c r="CA28" s="34"/>
      <c r="CB28" s="115"/>
      <c r="CC28" s="41"/>
      <c r="CD28" s="34"/>
      <c r="CE28" s="34" t="s">
        <v>146</v>
      </c>
      <c r="CF28" s="34">
        <v>20</v>
      </c>
      <c r="CG28" s="46">
        <v>1.32</v>
      </c>
      <c r="CH28" s="46">
        <v>0.75</v>
      </c>
      <c r="CI28" s="46">
        <v>6.68</v>
      </c>
      <c r="CJ28" s="46">
        <f t="shared" si="32"/>
        <v>38.75</v>
      </c>
      <c r="CK28" s="47"/>
      <c r="CL28" s="115"/>
      <c r="CM28" s="41"/>
      <c r="CN28" s="34"/>
      <c r="CO28" s="34" t="s">
        <v>32</v>
      </c>
      <c r="CP28" s="34">
        <v>20</v>
      </c>
      <c r="CQ28" s="34">
        <f>7.9*20/100</f>
        <v>1.58</v>
      </c>
      <c r="CR28" s="34">
        <f>1*20/100</f>
        <v>0.2</v>
      </c>
      <c r="CS28" s="38">
        <f>48.3*20/100</f>
        <v>9.66</v>
      </c>
      <c r="CT28" s="46">
        <f t="shared" si="33"/>
        <v>46.76</v>
      </c>
      <c r="CU28" s="43"/>
      <c r="CV28" s="129"/>
    </row>
    <row r="29" spans="1:162" x14ac:dyDescent="0.3">
      <c r="E29" s="47"/>
      <c r="F29" s="47"/>
      <c r="G29" s="47"/>
      <c r="H29" s="47"/>
      <c r="I29" s="47"/>
      <c r="J29" s="129"/>
      <c r="K29" s="41"/>
      <c r="L29" s="41"/>
      <c r="M29" s="41"/>
      <c r="N29" s="41"/>
      <c r="O29" s="43"/>
      <c r="P29" s="43"/>
      <c r="Q29" s="43"/>
      <c r="R29" s="43"/>
      <c r="S29" s="43"/>
      <c r="T29" s="129"/>
      <c r="U29" s="41"/>
      <c r="V29" s="41"/>
      <c r="W29" s="41"/>
      <c r="X29" s="41"/>
      <c r="Y29" s="41"/>
      <c r="Z29" s="41"/>
      <c r="AA29" s="41"/>
      <c r="AB29" s="41"/>
      <c r="AC29" s="43"/>
      <c r="AD29" s="129"/>
      <c r="AE29" s="41"/>
      <c r="AF29" s="34"/>
      <c r="AG29" s="34" t="s">
        <v>32</v>
      </c>
      <c r="AH29" s="34">
        <v>30</v>
      </c>
      <c r="AI29" s="46">
        <v>2.37</v>
      </c>
      <c r="AJ29" s="46">
        <v>0.3</v>
      </c>
      <c r="AK29" s="46">
        <v>14.49</v>
      </c>
      <c r="AL29" s="46">
        <f t="shared" si="27"/>
        <v>70.14</v>
      </c>
      <c r="AM29" s="43"/>
      <c r="AN29" s="129"/>
      <c r="AO29" s="41"/>
      <c r="AP29" s="34"/>
      <c r="AQ29" s="34" t="s">
        <v>32</v>
      </c>
      <c r="AR29" s="50">
        <v>30</v>
      </c>
      <c r="AS29" s="46">
        <v>2.37</v>
      </c>
      <c r="AT29" s="46">
        <v>0.3</v>
      </c>
      <c r="AU29" s="46">
        <v>14.49</v>
      </c>
      <c r="AV29" s="46">
        <f t="shared" si="28"/>
        <v>70.14</v>
      </c>
      <c r="AW29" s="43"/>
      <c r="AX29" s="129"/>
      <c r="AY29" s="41"/>
      <c r="AZ29" s="34"/>
      <c r="BA29" s="34" t="s">
        <v>146</v>
      </c>
      <c r="BB29" s="34">
        <v>20</v>
      </c>
      <c r="BC29" s="46">
        <v>1.32</v>
      </c>
      <c r="BD29" s="46">
        <v>0.75</v>
      </c>
      <c r="BE29" s="46">
        <v>6.68</v>
      </c>
      <c r="BF29" s="46">
        <f t="shared" si="29"/>
        <v>38.75</v>
      </c>
      <c r="BG29" s="41"/>
      <c r="BH29" s="115"/>
      <c r="BI29" s="41"/>
      <c r="BR29" s="115"/>
      <c r="BS29" s="41"/>
      <c r="CB29" s="115"/>
      <c r="CC29" s="41"/>
      <c r="CL29" s="115"/>
      <c r="CM29" s="55"/>
      <c r="CN29" s="34"/>
      <c r="CO29" s="34" t="s">
        <v>146</v>
      </c>
      <c r="CP29" s="34">
        <v>25</v>
      </c>
      <c r="CQ29" s="43">
        <v>1.65</v>
      </c>
      <c r="CR29" s="43">
        <v>0.15</v>
      </c>
      <c r="CS29" s="43">
        <v>8.35</v>
      </c>
      <c r="CT29" s="46">
        <f t="shared" si="33"/>
        <v>41.35</v>
      </c>
      <c r="CU29" s="43"/>
      <c r="CV29" s="129"/>
    </row>
    <row r="30" spans="1:162" s="52" customFormat="1" x14ac:dyDescent="0.3">
      <c r="A30" s="52" t="s">
        <v>31</v>
      </c>
      <c r="D30" s="52">
        <f t="shared" ref="D30:I30" si="34">SUM(D23:D29)</f>
        <v>620</v>
      </c>
      <c r="E30" s="52">
        <f t="shared" si="34"/>
        <v>28.869999999999997</v>
      </c>
      <c r="F30" s="52">
        <f t="shared" si="34"/>
        <v>9.14</v>
      </c>
      <c r="G30" s="52">
        <f t="shared" si="34"/>
        <v>66.209999999999994</v>
      </c>
      <c r="H30" s="52">
        <f t="shared" si="34"/>
        <v>462.57999999999993</v>
      </c>
      <c r="I30" s="52">
        <f t="shared" si="34"/>
        <v>7.45</v>
      </c>
      <c r="J30" s="129"/>
      <c r="K30" s="19" t="s">
        <v>31</v>
      </c>
      <c r="L30" s="19"/>
      <c r="M30" s="19"/>
      <c r="N30" s="19">
        <f t="shared" ref="N30:S30" si="35">SUM(N23:N29)</f>
        <v>550</v>
      </c>
      <c r="O30" s="19">
        <f t="shared" si="35"/>
        <v>18.240000000000002</v>
      </c>
      <c r="P30" s="19">
        <f t="shared" si="35"/>
        <v>12.945</v>
      </c>
      <c r="Q30" s="19">
        <f t="shared" si="35"/>
        <v>78.853999999999999</v>
      </c>
      <c r="R30" s="19">
        <f t="shared" si="35"/>
        <v>504.88099999999997</v>
      </c>
      <c r="S30" s="19">
        <f t="shared" si="35"/>
        <v>24.53</v>
      </c>
      <c r="T30" s="129"/>
      <c r="U30" s="19" t="s">
        <v>31</v>
      </c>
      <c r="V30" s="19"/>
      <c r="W30" s="19"/>
      <c r="X30" s="19">
        <f t="shared" ref="X30:AC30" si="36">SUM(X23:X29)</f>
        <v>545</v>
      </c>
      <c r="Y30" s="21">
        <f t="shared" si="36"/>
        <v>16.02</v>
      </c>
      <c r="Z30" s="21">
        <f t="shared" si="36"/>
        <v>18.740000000000002</v>
      </c>
      <c r="AA30" s="21">
        <f t="shared" si="36"/>
        <v>57.070000000000007</v>
      </c>
      <c r="AB30" s="21">
        <f t="shared" si="36"/>
        <v>461.02000000000004</v>
      </c>
      <c r="AC30" s="21">
        <f t="shared" si="36"/>
        <v>14.07</v>
      </c>
      <c r="AD30" s="129"/>
      <c r="AE30" s="19" t="s">
        <v>31</v>
      </c>
      <c r="AF30" s="19"/>
      <c r="AG30" s="19"/>
      <c r="AH30" s="19">
        <f t="shared" ref="AH30:AM30" si="37">SUM(AH23:AH29)</f>
        <v>650</v>
      </c>
      <c r="AI30" s="19">
        <f t="shared" si="37"/>
        <v>15.649999999999999</v>
      </c>
      <c r="AJ30" s="19">
        <f t="shared" si="37"/>
        <v>15.23</v>
      </c>
      <c r="AK30" s="19">
        <f t="shared" si="37"/>
        <v>68.28</v>
      </c>
      <c r="AL30" s="19">
        <f t="shared" si="37"/>
        <v>472.78999999999996</v>
      </c>
      <c r="AM30" s="19">
        <f t="shared" si="37"/>
        <v>23.72</v>
      </c>
      <c r="AN30" s="129"/>
      <c r="AO30" s="19" t="s">
        <v>31</v>
      </c>
      <c r="AP30" s="19"/>
      <c r="AQ30" s="19"/>
      <c r="AR30" s="19">
        <f t="shared" ref="AR30:AW30" si="38">SUM(AR23:AR29)</f>
        <v>600</v>
      </c>
      <c r="AS30" s="19">
        <f t="shared" si="38"/>
        <v>19.786100000000005</v>
      </c>
      <c r="AT30" s="19">
        <f t="shared" si="38"/>
        <v>18.390799999999999</v>
      </c>
      <c r="AU30" s="19">
        <f t="shared" si="38"/>
        <v>75.278700000000001</v>
      </c>
      <c r="AV30" s="19">
        <f t="shared" si="38"/>
        <v>545.77639999999997</v>
      </c>
      <c r="AW30" s="19">
        <f t="shared" si="38"/>
        <v>14.4625</v>
      </c>
      <c r="AX30" s="129"/>
      <c r="AY30" s="19" t="s">
        <v>31</v>
      </c>
      <c r="AZ30" s="19"/>
      <c r="BA30" s="19"/>
      <c r="BB30" s="21">
        <f>SUM(BB23:BB29)</f>
        <v>545</v>
      </c>
      <c r="BC30" s="21">
        <f t="shared" ref="BC30:BG30" si="39">SUM(BC23:BC29)</f>
        <v>18.14</v>
      </c>
      <c r="BD30" s="21">
        <f t="shared" si="39"/>
        <v>18.510000000000002</v>
      </c>
      <c r="BE30" s="21">
        <f t="shared" si="39"/>
        <v>65.08</v>
      </c>
      <c r="BF30" s="21">
        <f t="shared" si="39"/>
        <v>499.47</v>
      </c>
      <c r="BG30" s="21">
        <f t="shared" si="39"/>
        <v>19.09</v>
      </c>
      <c r="BH30" s="115"/>
      <c r="BI30" s="19" t="s">
        <v>31</v>
      </c>
      <c r="BJ30" s="19"/>
      <c r="BK30" s="19"/>
      <c r="BL30" s="21">
        <f t="shared" ref="BL30:BQ30" si="40">SUM(BL23:BL28)</f>
        <v>570</v>
      </c>
      <c r="BM30" s="21">
        <f t="shared" si="40"/>
        <v>27.810000000000006</v>
      </c>
      <c r="BN30" s="21">
        <f t="shared" si="40"/>
        <v>13.579999999999998</v>
      </c>
      <c r="BO30" s="21">
        <f t="shared" si="40"/>
        <v>64.34</v>
      </c>
      <c r="BP30" s="21">
        <f t="shared" si="40"/>
        <v>490.81999999999994</v>
      </c>
      <c r="BQ30" s="21">
        <f t="shared" si="40"/>
        <v>20.548200000000001</v>
      </c>
      <c r="BR30" s="115"/>
      <c r="BS30" s="19" t="s">
        <v>31</v>
      </c>
      <c r="BT30" s="19"/>
      <c r="BU30" s="19"/>
      <c r="BV30" s="19">
        <f t="shared" ref="BV30:CA30" si="41">SUM(BV23:BV29)</f>
        <v>630</v>
      </c>
      <c r="BW30" s="21">
        <f t="shared" si="41"/>
        <v>21.779999999999998</v>
      </c>
      <c r="BX30" s="19">
        <f t="shared" si="41"/>
        <v>22.31</v>
      </c>
      <c r="BY30" s="19">
        <f t="shared" si="41"/>
        <v>64.67</v>
      </c>
      <c r="BZ30" s="19">
        <f t="shared" si="41"/>
        <v>546.58999999999992</v>
      </c>
      <c r="CA30" s="19">
        <f t="shared" si="41"/>
        <v>23.003999999999998</v>
      </c>
      <c r="CB30" s="115"/>
      <c r="CC30" s="19" t="s">
        <v>31</v>
      </c>
      <c r="CD30" s="19"/>
      <c r="CE30" s="19"/>
      <c r="CF30" s="19">
        <f t="shared" ref="CF30:CK30" si="42">SUM(CF23:CF29)</f>
        <v>575</v>
      </c>
      <c r="CG30" s="21">
        <f t="shared" si="42"/>
        <v>21.929999999999996</v>
      </c>
      <c r="CH30" s="21">
        <f t="shared" si="42"/>
        <v>21.745000000000001</v>
      </c>
      <c r="CI30" s="21">
        <f t="shared" si="42"/>
        <v>77.406000000000006</v>
      </c>
      <c r="CJ30" s="21">
        <f t="shared" si="42"/>
        <v>593.04899999999998</v>
      </c>
      <c r="CK30" s="21">
        <f t="shared" si="42"/>
        <v>12.60125</v>
      </c>
      <c r="CL30" s="115"/>
      <c r="CM30" s="19" t="s">
        <v>31</v>
      </c>
      <c r="CN30" s="19"/>
      <c r="CO30" s="19"/>
      <c r="CP30" s="19">
        <f t="shared" ref="CP30:CU30" si="43">SUM(CP23:CP29)</f>
        <v>575</v>
      </c>
      <c r="CQ30" s="19">
        <f t="shared" si="43"/>
        <v>16.696999999999999</v>
      </c>
      <c r="CR30" s="19">
        <f t="shared" si="43"/>
        <v>16.973999999999997</v>
      </c>
      <c r="CS30" s="19">
        <f t="shared" si="43"/>
        <v>68.216199999999986</v>
      </c>
      <c r="CT30" s="19">
        <f t="shared" si="43"/>
        <v>492.41879999999998</v>
      </c>
      <c r="CU30" s="19">
        <f t="shared" si="43"/>
        <v>26.544</v>
      </c>
      <c r="CV30" s="129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</row>
    <row r="31" spans="1:162" s="52" customFormat="1" x14ac:dyDescent="0.3">
      <c r="A31" s="52" t="s">
        <v>30</v>
      </c>
      <c r="D31" s="19" t="s">
        <v>118</v>
      </c>
      <c r="E31" s="52">
        <v>14.7</v>
      </c>
      <c r="F31" s="52">
        <v>16.45</v>
      </c>
      <c r="G31" s="53">
        <v>71.05</v>
      </c>
      <c r="H31" s="53">
        <v>490</v>
      </c>
      <c r="J31" s="129"/>
      <c r="K31" s="19" t="s">
        <v>30</v>
      </c>
      <c r="L31" s="19"/>
      <c r="M31" s="19"/>
      <c r="N31" s="19" t="s">
        <v>118</v>
      </c>
      <c r="O31" s="19">
        <v>14.7</v>
      </c>
      <c r="P31" s="19">
        <v>16.45</v>
      </c>
      <c r="Q31" s="54">
        <v>71.05</v>
      </c>
      <c r="R31" s="54">
        <v>490</v>
      </c>
      <c r="S31" s="19"/>
      <c r="T31" s="129"/>
      <c r="U31" s="19" t="s">
        <v>30</v>
      </c>
      <c r="V31" s="19"/>
      <c r="W31" s="19"/>
      <c r="X31" s="19" t="s">
        <v>118</v>
      </c>
      <c r="Y31" s="19">
        <v>14.7</v>
      </c>
      <c r="Z31" s="19">
        <v>16.45</v>
      </c>
      <c r="AA31" s="54">
        <v>71.05</v>
      </c>
      <c r="AB31" s="54">
        <v>490</v>
      </c>
      <c r="AC31" s="19"/>
      <c r="AD31" s="129"/>
      <c r="AE31" s="19" t="s">
        <v>30</v>
      </c>
      <c r="AF31" s="19"/>
      <c r="AG31" s="19"/>
      <c r="AH31" s="19" t="s">
        <v>118</v>
      </c>
      <c r="AI31" s="21">
        <v>14.7</v>
      </c>
      <c r="AJ31" s="21">
        <v>16.45</v>
      </c>
      <c r="AK31" s="21">
        <v>71.05</v>
      </c>
      <c r="AL31" s="21">
        <v>490</v>
      </c>
      <c r="AM31" s="21"/>
      <c r="AN31" s="129"/>
      <c r="AO31" s="19" t="s">
        <v>30</v>
      </c>
      <c r="AP31" s="19"/>
      <c r="AQ31" s="19"/>
      <c r="AR31" s="19" t="s">
        <v>118</v>
      </c>
      <c r="AS31" s="21">
        <v>14.7</v>
      </c>
      <c r="AT31" s="21">
        <v>16.45</v>
      </c>
      <c r="AU31" s="21">
        <v>71.05</v>
      </c>
      <c r="AV31" s="21">
        <v>490</v>
      </c>
      <c r="AW31" s="21"/>
      <c r="AX31" s="129"/>
      <c r="AY31" s="19" t="s">
        <v>30</v>
      </c>
      <c r="AZ31" s="19"/>
      <c r="BA31" s="19"/>
      <c r="BB31" s="19" t="s">
        <v>118</v>
      </c>
      <c r="BC31" s="21">
        <v>14.7</v>
      </c>
      <c r="BD31" s="21">
        <v>16.45</v>
      </c>
      <c r="BE31" s="21">
        <v>71.05</v>
      </c>
      <c r="BF31" s="21">
        <v>490</v>
      </c>
      <c r="BG31" s="21"/>
      <c r="BH31" s="115"/>
      <c r="BI31" s="19" t="s">
        <v>30</v>
      </c>
      <c r="BJ31" s="19"/>
      <c r="BK31" s="19"/>
      <c r="BL31" s="19" t="s">
        <v>118</v>
      </c>
      <c r="BM31" s="21">
        <v>14.7</v>
      </c>
      <c r="BN31" s="21">
        <v>16.45</v>
      </c>
      <c r="BO31" s="21">
        <v>71.05</v>
      </c>
      <c r="BP31" s="21">
        <v>490</v>
      </c>
      <c r="BQ31" s="21"/>
      <c r="BR31" s="115"/>
      <c r="BS31" s="19" t="s">
        <v>30</v>
      </c>
      <c r="BT31" s="19"/>
      <c r="BU31" s="19"/>
      <c r="BV31" s="19" t="s">
        <v>118</v>
      </c>
      <c r="BW31" s="19">
        <v>14.7</v>
      </c>
      <c r="BX31" s="19">
        <v>16.45</v>
      </c>
      <c r="BY31" s="54">
        <v>71.05</v>
      </c>
      <c r="BZ31" s="54">
        <v>490</v>
      </c>
      <c r="CA31" s="19"/>
      <c r="CB31" s="115"/>
      <c r="CC31" s="19" t="s">
        <v>30</v>
      </c>
      <c r="CD31" s="19"/>
      <c r="CE31" s="19"/>
      <c r="CF31" s="19" t="s">
        <v>118</v>
      </c>
      <c r="CG31" s="19">
        <v>14.7</v>
      </c>
      <c r="CH31" s="19">
        <v>16.45</v>
      </c>
      <c r="CI31" s="54">
        <v>71.05</v>
      </c>
      <c r="CJ31" s="54">
        <v>490</v>
      </c>
      <c r="CK31" s="19"/>
      <c r="CL31" s="115"/>
      <c r="CM31" s="19" t="s">
        <v>30</v>
      </c>
      <c r="CN31" s="19"/>
      <c r="CO31" s="19"/>
      <c r="CP31" s="19" t="s">
        <v>118</v>
      </c>
      <c r="CQ31" s="19">
        <v>14.7</v>
      </c>
      <c r="CR31" s="19">
        <v>16.45</v>
      </c>
      <c r="CS31" s="54">
        <v>71.05</v>
      </c>
      <c r="CT31" s="54">
        <v>490</v>
      </c>
      <c r="CU31" s="19"/>
      <c r="CV31" s="129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</row>
    <row r="32" spans="1:162" s="23" customFormat="1" x14ac:dyDescent="0.3">
      <c r="G32" s="40"/>
      <c r="H32" s="40"/>
      <c r="J32" s="129"/>
      <c r="K32" s="34"/>
      <c r="L32" s="34"/>
      <c r="M32" s="34"/>
      <c r="N32" s="34"/>
      <c r="O32" s="34"/>
      <c r="P32" s="34"/>
      <c r="Q32" s="38"/>
      <c r="R32" s="38"/>
      <c r="S32" s="34"/>
      <c r="T32" s="129"/>
      <c r="U32" s="34"/>
      <c r="V32" s="34"/>
      <c r="W32" s="34"/>
      <c r="X32" s="34"/>
      <c r="Y32" s="34"/>
      <c r="Z32" s="34"/>
      <c r="AA32" s="38"/>
      <c r="AB32" s="38"/>
      <c r="AC32" s="34"/>
      <c r="AD32" s="129"/>
      <c r="AE32" s="34"/>
      <c r="AF32" s="34"/>
      <c r="AG32" s="34"/>
      <c r="AH32" s="34"/>
      <c r="AI32" s="46"/>
      <c r="AJ32" s="46"/>
      <c r="AK32" s="46"/>
      <c r="AL32" s="46"/>
      <c r="AM32" s="46"/>
      <c r="AN32" s="129"/>
      <c r="AO32" s="57"/>
      <c r="AP32" s="57"/>
      <c r="AQ32" s="57"/>
      <c r="AR32" s="57"/>
      <c r="AS32" s="61"/>
      <c r="AT32" s="61"/>
      <c r="AU32" s="61"/>
      <c r="AV32" s="61"/>
      <c r="AW32" s="61"/>
      <c r="AX32" s="129"/>
      <c r="AY32" s="34"/>
      <c r="AZ32" s="34"/>
      <c r="BA32" s="34"/>
      <c r="BB32" s="34"/>
      <c r="BC32" s="46"/>
      <c r="BD32" s="46"/>
      <c r="BE32" s="46"/>
      <c r="BF32" s="46"/>
      <c r="BG32" s="46"/>
      <c r="BH32" s="115"/>
      <c r="BI32" s="34"/>
      <c r="BJ32" s="34"/>
      <c r="BK32" s="34"/>
      <c r="BL32" s="34"/>
      <c r="BM32" s="46"/>
      <c r="BN32" s="46"/>
      <c r="BO32" s="46"/>
      <c r="BP32" s="46"/>
      <c r="BQ32" s="46"/>
      <c r="BR32" s="115"/>
      <c r="BS32" s="34"/>
      <c r="BT32" s="34"/>
      <c r="BU32" s="34"/>
      <c r="BV32" s="34"/>
      <c r="BW32" s="34"/>
      <c r="BX32" s="34"/>
      <c r="BY32" s="38"/>
      <c r="BZ32" s="38"/>
      <c r="CA32" s="34"/>
      <c r="CB32" s="115"/>
      <c r="CC32" s="34"/>
      <c r="CD32" s="34"/>
      <c r="CE32" s="34"/>
      <c r="CF32" s="34"/>
      <c r="CG32" s="34"/>
      <c r="CH32" s="34"/>
      <c r="CI32" s="38"/>
      <c r="CJ32" s="38"/>
      <c r="CK32" s="34"/>
      <c r="CL32" s="115"/>
      <c r="CM32" s="34"/>
      <c r="CN32" s="34"/>
      <c r="CO32" s="34"/>
      <c r="CP32" s="34"/>
      <c r="CQ32" s="34"/>
      <c r="CR32" s="34"/>
      <c r="CS32" s="38"/>
      <c r="CT32" s="38"/>
      <c r="CU32" s="34"/>
      <c r="CV32" s="129"/>
    </row>
    <row r="33" spans="1:162" s="33" customFormat="1" x14ac:dyDescent="0.3">
      <c r="A33" s="122" t="s">
        <v>29</v>
      </c>
      <c r="B33" s="123"/>
      <c r="C33" s="123"/>
      <c r="D33" s="123"/>
      <c r="E33" s="123"/>
      <c r="F33" s="123"/>
      <c r="G33" s="123"/>
      <c r="H33" s="123"/>
      <c r="I33" s="124"/>
      <c r="J33" s="129"/>
      <c r="K33" s="125" t="s">
        <v>29</v>
      </c>
      <c r="L33" s="126"/>
      <c r="M33" s="126"/>
      <c r="N33" s="126"/>
      <c r="O33" s="126"/>
      <c r="P33" s="126"/>
      <c r="Q33" s="126"/>
      <c r="R33" s="126"/>
      <c r="S33" s="127"/>
      <c r="T33" s="129"/>
      <c r="U33" s="125" t="s">
        <v>29</v>
      </c>
      <c r="V33" s="126"/>
      <c r="W33" s="126"/>
      <c r="X33" s="126"/>
      <c r="Y33" s="126"/>
      <c r="Z33" s="126"/>
      <c r="AA33" s="126"/>
      <c r="AB33" s="126"/>
      <c r="AC33" s="127"/>
      <c r="AD33" s="129"/>
      <c r="AE33" s="125"/>
      <c r="AF33" s="126"/>
      <c r="AG33" s="126"/>
      <c r="AH33" s="126"/>
      <c r="AI33" s="126"/>
      <c r="AJ33" s="126"/>
      <c r="AK33" s="126"/>
      <c r="AL33" s="126"/>
      <c r="AM33" s="127"/>
      <c r="AN33" s="129"/>
      <c r="AO33" s="125" t="s">
        <v>29</v>
      </c>
      <c r="AP33" s="126"/>
      <c r="AQ33" s="126"/>
      <c r="AR33" s="126"/>
      <c r="AS33" s="126"/>
      <c r="AT33" s="126"/>
      <c r="AU33" s="126"/>
      <c r="AV33" s="126"/>
      <c r="AW33" s="127"/>
      <c r="AX33" s="129"/>
      <c r="AY33" s="125" t="s">
        <v>29</v>
      </c>
      <c r="AZ33" s="126"/>
      <c r="BA33" s="126"/>
      <c r="BB33" s="126"/>
      <c r="BC33" s="126"/>
      <c r="BD33" s="126"/>
      <c r="BE33" s="126"/>
      <c r="BF33" s="126"/>
      <c r="BG33" s="127"/>
      <c r="BH33" s="115"/>
      <c r="BI33" s="125" t="s">
        <v>29</v>
      </c>
      <c r="BJ33" s="126"/>
      <c r="BK33" s="126"/>
      <c r="BL33" s="126"/>
      <c r="BM33" s="126"/>
      <c r="BN33" s="126"/>
      <c r="BO33" s="126"/>
      <c r="BP33" s="126"/>
      <c r="BQ33" s="127"/>
      <c r="BR33" s="115"/>
      <c r="BS33" s="125" t="s">
        <v>29</v>
      </c>
      <c r="BT33" s="126"/>
      <c r="BU33" s="126"/>
      <c r="BV33" s="126"/>
      <c r="BW33" s="126"/>
      <c r="BX33" s="126"/>
      <c r="BY33" s="126"/>
      <c r="BZ33" s="126"/>
      <c r="CA33" s="127"/>
      <c r="CB33" s="115"/>
      <c r="CC33" s="125" t="s">
        <v>29</v>
      </c>
      <c r="CD33" s="126"/>
      <c r="CE33" s="126"/>
      <c r="CF33" s="126"/>
      <c r="CG33" s="126"/>
      <c r="CH33" s="126"/>
      <c r="CI33" s="126"/>
      <c r="CJ33" s="126"/>
      <c r="CK33" s="127"/>
      <c r="CL33" s="115"/>
      <c r="CM33" s="125" t="s">
        <v>29</v>
      </c>
      <c r="CN33" s="126"/>
      <c r="CO33" s="126"/>
      <c r="CP33" s="126"/>
      <c r="CQ33" s="126"/>
      <c r="CR33" s="126"/>
      <c r="CS33" s="126"/>
      <c r="CT33" s="126"/>
      <c r="CU33" s="127"/>
      <c r="CV33" s="129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</row>
    <row r="34" spans="1:162" x14ac:dyDescent="0.3">
      <c r="B34" s="34"/>
      <c r="C34" s="104" t="s">
        <v>125</v>
      </c>
      <c r="D34" s="23">
        <v>40</v>
      </c>
      <c r="E34" s="46">
        <v>0.24</v>
      </c>
      <c r="F34" s="46">
        <v>0.08</v>
      </c>
      <c r="G34" s="46">
        <v>1.6</v>
      </c>
      <c r="H34" s="46">
        <f>G34*4+F34*9+E34*4</f>
        <v>8.08</v>
      </c>
      <c r="I34" s="43">
        <v>3.6</v>
      </c>
      <c r="J34" s="129"/>
      <c r="K34" s="41"/>
      <c r="L34" s="34">
        <v>38</v>
      </c>
      <c r="M34" s="34" t="s">
        <v>128</v>
      </c>
      <c r="N34" s="34">
        <v>40</v>
      </c>
      <c r="O34" s="46">
        <v>0.17</v>
      </c>
      <c r="P34" s="46">
        <v>1.04</v>
      </c>
      <c r="Q34" s="46">
        <v>1.387</v>
      </c>
      <c r="R34" s="46">
        <f>Q34*4+P34*9+O34*4</f>
        <v>15.587999999999999</v>
      </c>
      <c r="S34" s="46">
        <v>1.19</v>
      </c>
      <c r="T34" s="129"/>
      <c r="U34" s="41"/>
      <c r="V34" s="34"/>
      <c r="W34" s="34" t="s">
        <v>115</v>
      </c>
      <c r="X34" s="34">
        <v>60</v>
      </c>
      <c r="Y34" s="46">
        <v>6.6</v>
      </c>
      <c r="Z34" s="46">
        <v>3.27</v>
      </c>
      <c r="AA34" s="46">
        <v>4.37</v>
      </c>
      <c r="AB34" s="46">
        <f>AA34*4+Z34*9+Y34*4</f>
        <v>73.31</v>
      </c>
      <c r="AC34" s="46">
        <v>0.11</v>
      </c>
      <c r="AD34" s="129"/>
      <c r="AE34" s="41"/>
      <c r="AF34" s="34">
        <v>16</v>
      </c>
      <c r="AG34" s="34" t="s">
        <v>81</v>
      </c>
      <c r="AH34" s="34">
        <v>40</v>
      </c>
      <c r="AI34" s="60">
        <v>0.49</v>
      </c>
      <c r="AJ34" s="60">
        <v>2.8</v>
      </c>
      <c r="AK34" s="60">
        <v>2.58</v>
      </c>
      <c r="AL34" s="60">
        <f>AK34*4+AJ34*9+AI34*4</f>
        <v>37.479999999999997</v>
      </c>
      <c r="AM34" s="60">
        <v>7.48</v>
      </c>
      <c r="AN34" s="129"/>
      <c r="AO34" s="41"/>
      <c r="AP34" s="34" t="s">
        <v>47</v>
      </c>
      <c r="AQ34" s="34" t="s">
        <v>125</v>
      </c>
      <c r="AR34" s="34">
        <v>40</v>
      </c>
      <c r="AS34" s="46">
        <v>0.24</v>
      </c>
      <c r="AT34" s="46">
        <v>0.08</v>
      </c>
      <c r="AU34" s="46">
        <v>1.6</v>
      </c>
      <c r="AV34" s="46">
        <f>AU34*4+AT34*9+AS34*4</f>
        <v>8.08</v>
      </c>
      <c r="AW34" s="43">
        <v>3.6</v>
      </c>
      <c r="AX34" s="129"/>
      <c r="AY34" s="41"/>
      <c r="AZ34" s="34"/>
      <c r="BA34" s="34" t="s">
        <v>172</v>
      </c>
      <c r="BB34" s="34">
        <v>80</v>
      </c>
      <c r="BC34" s="69">
        <v>10.45</v>
      </c>
      <c r="BD34" s="69">
        <v>1.42</v>
      </c>
      <c r="BE34" s="67">
        <v>0.16</v>
      </c>
      <c r="BF34" s="67">
        <f>BE34*4+BD34*9+BC34*4</f>
        <v>55.22</v>
      </c>
      <c r="BG34" s="69">
        <v>0.2</v>
      </c>
      <c r="BH34" s="115"/>
      <c r="BI34" s="41"/>
      <c r="BJ34" s="34" t="s">
        <v>47</v>
      </c>
      <c r="BK34" s="34" t="s">
        <v>125</v>
      </c>
      <c r="BL34" s="34">
        <v>30</v>
      </c>
      <c r="BM34" s="46">
        <v>0.24</v>
      </c>
      <c r="BN34" s="46">
        <v>0.03</v>
      </c>
      <c r="BO34" s="46">
        <v>0.84</v>
      </c>
      <c r="BP34" s="46">
        <f>BO34*4+BN34*9+BM34*4</f>
        <v>4.59</v>
      </c>
      <c r="BQ34" s="46"/>
      <c r="BR34" s="115"/>
      <c r="BS34" s="41"/>
      <c r="BT34" s="37" t="s">
        <v>47</v>
      </c>
      <c r="BU34" s="37" t="s">
        <v>132</v>
      </c>
      <c r="BV34" s="37">
        <v>30</v>
      </c>
      <c r="BW34" s="46">
        <v>0.24</v>
      </c>
      <c r="BX34" s="46">
        <v>0.03</v>
      </c>
      <c r="BY34" s="46">
        <v>0.84</v>
      </c>
      <c r="BZ34" s="46">
        <f>BY34*4+BX34*9+BW34*4</f>
        <v>4.59</v>
      </c>
      <c r="CA34" s="46"/>
      <c r="CB34" s="115"/>
      <c r="CC34" s="41"/>
      <c r="CD34" s="34">
        <v>229</v>
      </c>
      <c r="CE34" s="34" t="s">
        <v>108</v>
      </c>
      <c r="CF34" s="34">
        <v>130</v>
      </c>
      <c r="CG34" s="68">
        <v>36.86</v>
      </c>
      <c r="CH34" s="68">
        <v>21.12</v>
      </c>
      <c r="CI34" s="68">
        <v>30.04</v>
      </c>
      <c r="CJ34" s="68">
        <f>CI34*4+CH34*9+CG34*4</f>
        <v>457.68</v>
      </c>
      <c r="CK34" s="68">
        <v>0.7</v>
      </c>
      <c r="CL34" s="115"/>
      <c r="CM34" s="41"/>
      <c r="CN34" s="34">
        <v>34</v>
      </c>
      <c r="CO34" s="34" t="s">
        <v>167</v>
      </c>
      <c r="CP34" s="34">
        <v>60</v>
      </c>
      <c r="CQ34" s="46">
        <v>13.54</v>
      </c>
      <c r="CR34" s="46">
        <v>5.88</v>
      </c>
      <c r="CS34" s="46">
        <v>5.4</v>
      </c>
      <c r="CT34" s="68">
        <f>CS34*4+CR34*9+CQ34*4</f>
        <v>128.68</v>
      </c>
      <c r="CU34" s="46"/>
      <c r="CV34" s="129"/>
    </row>
    <row r="35" spans="1:162" s="23" customFormat="1" x14ac:dyDescent="0.3">
      <c r="B35" s="23">
        <v>252</v>
      </c>
      <c r="C35" s="23" t="s">
        <v>110</v>
      </c>
      <c r="D35" s="23">
        <v>60</v>
      </c>
      <c r="E35" s="60">
        <v>5.2</v>
      </c>
      <c r="F35" s="60">
        <v>4.0199999999999996</v>
      </c>
      <c r="G35" s="60">
        <v>7.39</v>
      </c>
      <c r="H35" s="46">
        <f t="shared" ref="H35:H39" si="44">G35*4+F35*9+E35*4</f>
        <v>86.539999999999992</v>
      </c>
      <c r="I35" s="60">
        <v>1.65</v>
      </c>
      <c r="J35" s="129"/>
      <c r="K35" s="34"/>
      <c r="L35" s="34">
        <v>236</v>
      </c>
      <c r="M35" s="34" t="s">
        <v>151</v>
      </c>
      <c r="N35" s="34">
        <v>130</v>
      </c>
      <c r="O35" s="46">
        <v>21.23</v>
      </c>
      <c r="P35" s="46">
        <v>31.18</v>
      </c>
      <c r="Q35" s="46">
        <v>22.28</v>
      </c>
      <c r="R35" s="46">
        <f>Q35*4+P35*9+O35*4</f>
        <v>454.66</v>
      </c>
      <c r="S35" s="46">
        <v>0.22</v>
      </c>
      <c r="T35" s="129"/>
      <c r="U35" s="41"/>
      <c r="V35" s="34">
        <v>319</v>
      </c>
      <c r="W35" s="34" t="s">
        <v>94</v>
      </c>
      <c r="X35" s="34">
        <v>120</v>
      </c>
      <c r="Y35" s="46">
        <v>2.81</v>
      </c>
      <c r="Z35" s="46">
        <v>2.98</v>
      </c>
      <c r="AA35" s="46">
        <v>15.72</v>
      </c>
      <c r="AB35" s="46">
        <f t="shared" ref="AB35:AB38" si="45">AA35*4+Z35*9+Y35*4</f>
        <v>100.94</v>
      </c>
      <c r="AC35" s="46">
        <v>12.93</v>
      </c>
      <c r="AD35" s="129"/>
      <c r="AE35" s="34"/>
      <c r="AF35" s="34"/>
      <c r="AG35" s="34" t="s">
        <v>126</v>
      </c>
      <c r="AH35" s="34">
        <v>60</v>
      </c>
      <c r="AI35" s="46">
        <v>9.8000000000000007</v>
      </c>
      <c r="AJ35" s="46">
        <v>3.27</v>
      </c>
      <c r="AK35" s="46">
        <v>1.92</v>
      </c>
      <c r="AL35" s="60">
        <f t="shared" ref="AL35:AL39" si="46">AK35*4+AJ35*9+AI35*4</f>
        <v>76.31</v>
      </c>
      <c r="AM35" s="46">
        <v>0.12</v>
      </c>
      <c r="AN35" s="129"/>
      <c r="AO35" s="34"/>
      <c r="AP35" s="34">
        <v>34</v>
      </c>
      <c r="AQ35" s="34" t="s">
        <v>167</v>
      </c>
      <c r="AR35" s="34">
        <v>60</v>
      </c>
      <c r="AS35" s="46">
        <v>15.36</v>
      </c>
      <c r="AT35" s="46">
        <v>6.72</v>
      </c>
      <c r="AU35" s="46">
        <v>6.17</v>
      </c>
      <c r="AV35" s="46">
        <f t="shared" ref="AV35:AV39" si="47">AU35*4+AT35*9+AS35*4</f>
        <v>146.6</v>
      </c>
      <c r="AW35" s="46"/>
      <c r="AX35" s="129"/>
      <c r="AY35" s="41"/>
      <c r="AZ35" s="34">
        <v>321</v>
      </c>
      <c r="BA35" s="34" t="s">
        <v>40</v>
      </c>
      <c r="BB35" s="34">
        <v>120</v>
      </c>
      <c r="BC35" s="46">
        <v>2.44</v>
      </c>
      <c r="BD35" s="69">
        <v>4.8</v>
      </c>
      <c r="BE35" s="46">
        <v>20.440000000000001</v>
      </c>
      <c r="BF35" s="67">
        <f t="shared" ref="BF35:BF38" si="48">BE35*4+BD35*9+BC35*4</f>
        <v>134.72</v>
      </c>
      <c r="BG35" s="46">
        <v>18</v>
      </c>
      <c r="BH35" s="115"/>
      <c r="BI35" s="41"/>
      <c r="BJ35" s="34"/>
      <c r="BK35" s="62" t="s">
        <v>175</v>
      </c>
      <c r="BL35" s="34">
        <v>60</v>
      </c>
      <c r="BM35" s="34">
        <v>0.28000000000000003</v>
      </c>
      <c r="BN35" s="34">
        <v>0.15</v>
      </c>
      <c r="BO35" s="34">
        <v>0.01</v>
      </c>
      <c r="BP35" s="46">
        <f t="shared" ref="BP35:BP40" si="49">BO35*4+BN35*9+BM35*4</f>
        <v>2.5099999999999998</v>
      </c>
      <c r="BQ35" s="34">
        <v>0.02</v>
      </c>
      <c r="BR35" s="115"/>
      <c r="BS35" s="41"/>
      <c r="BT35" s="34"/>
      <c r="BU35" s="34" t="s">
        <v>130</v>
      </c>
      <c r="BV35" s="34">
        <v>60</v>
      </c>
      <c r="BW35" s="46">
        <v>3.96</v>
      </c>
      <c r="BX35" s="46">
        <v>4.7</v>
      </c>
      <c r="BY35" s="46">
        <v>5.49</v>
      </c>
      <c r="BZ35" s="38">
        <f t="shared" ref="BZ35:BZ36" si="50">BY35*4+BX35*9+BW35*4</f>
        <v>80.100000000000009</v>
      </c>
      <c r="CA35" s="46">
        <v>0</v>
      </c>
      <c r="CB35" s="115"/>
      <c r="CC35" s="41"/>
      <c r="CD35" s="34">
        <v>351</v>
      </c>
      <c r="CE35" s="34" t="s">
        <v>105</v>
      </c>
      <c r="CF35" s="34">
        <v>30</v>
      </c>
      <c r="CG35" s="46">
        <f>19.43*30/1000</f>
        <v>0.58289999999999997</v>
      </c>
      <c r="CH35" s="46">
        <f>45.19*30/1000</f>
        <v>1.3556999999999999</v>
      </c>
      <c r="CI35" s="46">
        <f>132.55*30/1000</f>
        <v>3.9765000000000006</v>
      </c>
      <c r="CJ35" s="68">
        <f t="shared" ref="CJ35:CJ37" si="51">CI35*4+CH35*9+CG35*4</f>
        <v>30.438900000000004</v>
      </c>
      <c r="CK35" s="46">
        <f>3.25*30/1000</f>
        <v>9.7500000000000003E-2</v>
      </c>
      <c r="CL35" s="115"/>
      <c r="CM35" s="34"/>
      <c r="CN35" s="34"/>
      <c r="CO35" s="34" t="s">
        <v>106</v>
      </c>
      <c r="CP35" s="34">
        <v>10</v>
      </c>
      <c r="CQ35" s="46">
        <v>0.17</v>
      </c>
      <c r="CR35" s="46">
        <v>1.33</v>
      </c>
      <c r="CS35" s="46">
        <v>0.21</v>
      </c>
      <c r="CT35" s="68">
        <f t="shared" ref="CT35:CT39" si="52">CS35*4+CR35*9+CQ35*4</f>
        <v>13.49</v>
      </c>
      <c r="CU35" s="46"/>
      <c r="CV35" s="129"/>
    </row>
    <row r="36" spans="1:162" x14ac:dyDescent="0.3">
      <c r="B36" s="44">
        <v>54</v>
      </c>
      <c r="C36" s="34" t="s">
        <v>148</v>
      </c>
      <c r="D36" s="34">
        <v>120</v>
      </c>
      <c r="E36" s="60">
        <v>2.82</v>
      </c>
      <c r="F36" s="60">
        <v>5.52</v>
      </c>
      <c r="G36" s="60">
        <v>16</v>
      </c>
      <c r="H36" s="46">
        <f t="shared" si="44"/>
        <v>124.96</v>
      </c>
      <c r="I36" s="60">
        <v>8.06</v>
      </c>
      <c r="J36" s="129"/>
      <c r="K36" s="41"/>
      <c r="L36" s="34">
        <v>362</v>
      </c>
      <c r="M36" s="34" t="s">
        <v>136</v>
      </c>
      <c r="N36" s="34">
        <v>30</v>
      </c>
      <c r="O36" s="46">
        <f>4.64*30/1000</f>
        <v>0.13919999999999999</v>
      </c>
      <c r="P36" s="46">
        <f>0.52*30/1000</f>
        <v>1.5600000000000001E-2</v>
      </c>
      <c r="Q36" s="46">
        <f>645.15*30/1000</f>
        <v>19.354500000000002</v>
      </c>
      <c r="R36" s="46">
        <f t="shared" ref="R36:R38" si="53">Q36*4+P36*9+O36*4</f>
        <v>78.115200000000002</v>
      </c>
      <c r="S36" s="46">
        <f>20.6*30/1000</f>
        <v>0.61799999999999999</v>
      </c>
      <c r="T36" s="129"/>
      <c r="U36" s="41"/>
      <c r="V36" s="34">
        <v>490</v>
      </c>
      <c r="W36" s="34" t="s">
        <v>95</v>
      </c>
      <c r="X36" s="34">
        <v>25</v>
      </c>
      <c r="Y36" s="46">
        <v>1.35</v>
      </c>
      <c r="Z36" s="46">
        <v>5.29</v>
      </c>
      <c r="AA36" s="46">
        <v>13.55</v>
      </c>
      <c r="AB36" s="46">
        <f t="shared" si="45"/>
        <v>107.21000000000001</v>
      </c>
      <c r="AC36" s="46"/>
      <c r="AD36" s="129"/>
      <c r="AE36" s="41"/>
      <c r="AF36" s="34">
        <v>313</v>
      </c>
      <c r="AG36" s="34" t="s">
        <v>162</v>
      </c>
      <c r="AH36" s="34">
        <v>120</v>
      </c>
      <c r="AI36" s="46">
        <v>4.2</v>
      </c>
      <c r="AJ36" s="46">
        <v>2.5499999999999998</v>
      </c>
      <c r="AK36" s="46">
        <v>25.9</v>
      </c>
      <c r="AL36" s="60">
        <f t="shared" si="46"/>
        <v>143.35</v>
      </c>
      <c r="AM36" s="46"/>
      <c r="AN36" s="129"/>
      <c r="AO36" s="41"/>
      <c r="AP36" s="34">
        <v>213</v>
      </c>
      <c r="AQ36" s="34" t="s">
        <v>141</v>
      </c>
      <c r="AR36" s="34">
        <v>40</v>
      </c>
      <c r="AS36" s="24">
        <v>4.9000000000000004</v>
      </c>
      <c r="AT36" s="24">
        <v>4.5</v>
      </c>
      <c r="AU36" s="35">
        <v>0.3</v>
      </c>
      <c r="AV36" s="60">
        <f t="shared" si="47"/>
        <v>61.300000000000004</v>
      </c>
      <c r="AW36" s="46"/>
      <c r="AX36" s="129"/>
      <c r="AY36" s="41"/>
      <c r="AZ36" s="34">
        <v>490</v>
      </c>
      <c r="BA36" s="34" t="s">
        <v>95</v>
      </c>
      <c r="BB36" s="34">
        <v>25</v>
      </c>
      <c r="BC36" s="60">
        <v>1.35</v>
      </c>
      <c r="BD36" s="60">
        <v>5.29</v>
      </c>
      <c r="BE36" s="60">
        <f>136.26*100/1000</f>
        <v>13.625999999999999</v>
      </c>
      <c r="BF36" s="67">
        <f t="shared" si="48"/>
        <v>107.51400000000001</v>
      </c>
      <c r="BG36" s="60">
        <v>0</v>
      </c>
      <c r="BH36" s="115"/>
      <c r="BI36" s="41"/>
      <c r="BJ36" s="34">
        <v>355</v>
      </c>
      <c r="BK36" s="62" t="s">
        <v>176</v>
      </c>
      <c r="BL36" s="34">
        <v>30</v>
      </c>
      <c r="BM36" s="46">
        <v>0.48</v>
      </c>
      <c r="BN36" s="46">
        <v>4.0199999999999996</v>
      </c>
      <c r="BO36" s="46">
        <v>1.49</v>
      </c>
      <c r="BP36" s="46">
        <f t="shared" si="49"/>
        <v>44.059999999999995</v>
      </c>
      <c r="BQ36" s="46">
        <v>0.02</v>
      </c>
      <c r="BR36" s="115"/>
      <c r="BS36" s="41"/>
      <c r="BT36" s="34">
        <v>55</v>
      </c>
      <c r="BU36" s="34" t="s">
        <v>181</v>
      </c>
      <c r="BV36" s="34">
        <v>130</v>
      </c>
      <c r="BW36" s="34">
        <v>3.67</v>
      </c>
      <c r="BX36" s="34">
        <v>7.18</v>
      </c>
      <c r="BY36" s="34">
        <v>20.8</v>
      </c>
      <c r="BZ36" s="38">
        <f t="shared" si="50"/>
        <v>162.5</v>
      </c>
      <c r="CA36" s="46">
        <v>10.4</v>
      </c>
      <c r="CB36" s="115"/>
      <c r="CC36" s="41"/>
      <c r="CD36" s="34">
        <v>395</v>
      </c>
      <c r="CE36" s="34" t="s">
        <v>142</v>
      </c>
      <c r="CF36" s="34">
        <v>180</v>
      </c>
      <c r="CG36" s="43">
        <v>2.85</v>
      </c>
      <c r="CH36" s="43">
        <v>2.41</v>
      </c>
      <c r="CI36" s="43">
        <v>14.4</v>
      </c>
      <c r="CJ36" s="68">
        <f t="shared" si="51"/>
        <v>90.690000000000012</v>
      </c>
      <c r="CK36" s="43">
        <v>1.17</v>
      </c>
      <c r="CL36" s="115"/>
      <c r="CM36" s="41"/>
      <c r="CN36" s="34">
        <v>321</v>
      </c>
      <c r="CO36" s="34" t="s">
        <v>40</v>
      </c>
      <c r="CP36" s="34">
        <v>120</v>
      </c>
      <c r="CQ36" s="65">
        <v>2.44</v>
      </c>
      <c r="CR36" s="65">
        <v>4.8</v>
      </c>
      <c r="CS36" s="66">
        <v>20.440000000000001</v>
      </c>
      <c r="CT36" s="66">
        <f>CS36*4+CR36*9+CQ36*4</f>
        <v>134.72</v>
      </c>
      <c r="CU36" s="65">
        <v>18.18</v>
      </c>
      <c r="CV36" s="129"/>
    </row>
    <row r="37" spans="1:162" x14ac:dyDescent="0.3">
      <c r="B37" s="23">
        <v>496</v>
      </c>
      <c r="C37" s="23" t="s">
        <v>33</v>
      </c>
      <c r="D37" s="23">
        <v>37</v>
      </c>
      <c r="E37" s="60">
        <v>4.8899999999999997</v>
      </c>
      <c r="F37" s="60">
        <v>8.43</v>
      </c>
      <c r="G37" s="60">
        <v>46.5</v>
      </c>
      <c r="H37" s="46">
        <f t="shared" si="44"/>
        <v>281.43</v>
      </c>
      <c r="I37" s="60">
        <v>0.05</v>
      </c>
      <c r="J37" s="129"/>
      <c r="K37" s="41"/>
      <c r="L37" s="34">
        <v>492</v>
      </c>
      <c r="M37" s="34" t="s">
        <v>152</v>
      </c>
      <c r="N37" s="50">
        <v>30</v>
      </c>
      <c r="O37" s="46">
        <v>4.22</v>
      </c>
      <c r="P37" s="46">
        <v>5.5</v>
      </c>
      <c r="Q37" s="46">
        <v>32</v>
      </c>
      <c r="R37" s="46">
        <f t="shared" si="53"/>
        <v>194.38</v>
      </c>
      <c r="S37" s="46">
        <v>13.9</v>
      </c>
      <c r="T37" s="129"/>
      <c r="U37" s="41"/>
      <c r="V37" s="34">
        <v>397</v>
      </c>
      <c r="W37" s="34" t="s">
        <v>44</v>
      </c>
      <c r="X37" s="34">
        <v>180</v>
      </c>
      <c r="Y37" s="34">
        <v>3.06</v>
      </c>
      <c r="Z37" s="34">
        <v>2.66</v>
      </c>
      <c r="AA37" s="38">
        <v>13.2</v>
      </c>
      <c r="AB37" s="46">
        <f t="shared" si="45"/>
        <v>88.97999999999999</v>
      </c>
      <c r="AC37" s="34">
        <v>1.43</v>
      </c>
      <c r="AD37" s="129"/>
      <c r="AE37" s="41"/>
      <c r="AF37" s="34">
        <v>394</v>
      </c>
      <c r="AG37" s="34" t="s">
        <v>190</v>
      </c>
      <c r="AH37" s="34">
        <v>160</v>
      </c>
      <c r="AI37" s="34">
        <v>0.06</v>
      </c>
      <c r="AJ37" s="34">
        <v>0.2</v>
      </c>
      <c r="AK37" s="38">
        <v>9.99</v>
      </c>
      <c r="AL37" s="60">
        <f t="shared" si="46"/>
        <v>42</v>
      </c>
      <c r="AM37" s="34">
        <v>0.03</v>
      </c>
      <c r="AN37" s="129"/>
      <c r="AO37" s="41"/>
      <c r="AP37" s="34">
        <v>460</v>
      </c>
      <c r="AQ37" s="34" t="s">
        <v>82</v>
      </c>
      <c r="AR37" s="34">
        <v>40</v>
      </c>
      <c r="AS37" s="46">
        <v>4.43</v>
      </c>
      <c r="AT37" s="46">
        <v>8.2100000000000009</v>
      </c>
      <c r="AU37" s="46">
        <v>34.840000000000003</v>
      </c>
      <c r="AV37" s="46">
        <f t="shared" si="47"/>
        <v>230.97000000000003</v>
      </c>
      <c r="AW37" s="46"/>
      <c r="AX37" s="129"/>
      <c r="AY37" s="41"/>
      <c r="AZ37" s="34">
        <v>400</v>
      </c>
      <c r="BA37" s="34" t="s">
        <v>153</v>
      </c>
      <c r="BB37" s="34">
        <v>180</v>
      </c>
      <c r="BC37" s="34">
        <v>5.57</v>
      </c>
      <c r="BD37" s="34">
        <v>4.87</v>
      </c>
      <c r="BE37" s="34">
        <v>9.6300000000000008</v>
      </c>
      <c r="BF37" s="67">
        <f t="shared" si="48"/>
        <v>104.63</v>
      </c>
      <c r="BG37" s="34">
        <v>2.4500000000000002</v>
      </c>
      <c r="BH37" s="115"/>
      <c r="BI37" s="41"/>
      <c r="BJ37" s="34">
        <v>313</v>
      </c>
      <c r="BK37" s="34" t="s">
        <v>177</v>
      </c>
      <c r="BL37" s="34">
        <v>120</v>
      </c>
      <c r="BM37" s="46">
        <v>4.2</v>
      </c>
      <c r="BN37" s="46">
        <v>2.5499999999999998</v>
      </c>
      <c r="BO37" s="46">
        <v>25.9</v>
      </c>
      <c r="BP37" s="46">
        <f t="shared" si="49"/>
        <v>143.35</v>
      </c>
      <c r="BQ37" s="46"/>
      <c r="BR37" s="115"/>
      <c r="BS37" s="41"/>
      <c r="BT37" s="37">
        <v>399</v>
      </c>
      <c r="BU37" s="34" t="s">
        <v>129</v>
      </c>
      <c r="BV37" s="34">
        <v>180</v>
      </c>
      <c r="BW37" s="34">
        <v>0.54</v>
      </c>
      <c r="BX37" s="34">
        <v>0.18</v>
      </c>
      <c r="BY37" s="34">
        <v>27.36</v>
      </c>
      <c r="BZ37" s="38">
        <f>BY37*4+BX37*9+BW37*4</f>
        <v>113.22</v>
      </c>
      <c r="CA37" s="34">
        <v>7.2</v>
      </c>
      <c r="CB37" s="115"/>
      <c r="CC37" s="41"/>
      <c r="CD37" s="34"/>
      <c r="CE37" s="34" t="s">
        <v>38</v>
      </c>
      <c r="CF37" s="34">
        <v>95</v>
      </c>
      <c r="CG37" s="43">
        <v>0.4</v>
      </c>
      <c r="CH37" s="43">
        <v>0.4</v>
      </c>
      <c r="CI37" s="43">
        <v>9.8000000000000007</v>
      </c>
      <c r="CJ37" s="68">
        <f t="shared" si="51"/>
        <v>44.400000000000006</v>
      </c>
      <c r="CK37" s="43">
        <v>10</v>
      </c>
      <c r="CL37" s="115"/>
      <c r="CM37" s="41"/>
      <c r="CN37" s="34">
        <v>401</v>
      </c>
      <c r="CO37" s="34" t="s">
        <v>144</v>
      </c>
      <c r="CP37" s="50">
        <v>180</v>
      </c>
      <c r="CQ37" s="46">
        <v>4.6900000000000004</v>
      </c>
      <c r="CR37" s="46">
        <v>4.05</v>
      </c>
      <c r="CS37" s="46">
        <v>6.8</v>
      </c>
      <c r="CT37" s="68">
        <f t="shared" si="52"/>
        <v>82.41</v>
      </c>
      <c r="CU37" s="46">
        <v>0.48</v>
      </c>
      <c r="CV37" s="129"/>
    </row>
    <row r="38" spans="1:162" x14ac:dyDescent="0.3">
      <c r="B38" s="23">
        <v>399</v>
      </c>
      <c r="C38" s="104" t="s">
        <v>201</v>
      </c>
      <c r="D38" s="23">
        <v>180</v>
      </c>
      <c r="E38" s="60">
        <v>0.54</v>
      </c>
      <c r="F38" s="60">
        <v>0.18</v>
      </c>
      <c r="G38" s="60">
        <v>27.36</v>
      </c>
      <c r="H38" s="46">
        <f t="shared" si="44"/>
        <v>113.22</v>
      </c>
      <c r="I38" s="60">
        <v>7.2</v>
      </c>
      <c r="J38" s="129"/>
      <c r="K38" s="41"/>
      <c r="L38" s="34">
        <v>400</v>
      </c>
      <c r="M38" s="34" t="s">
        <v>153</v>
      </c>
      <c r="N38" s="34">
        <v>180</v>
      </c>
      <c r="O38" s="60">
        <v>5.48</v>
      </c>
      <c r="P38" s="60">
        <v>4.88</v>
      </c>
      <c r="Q38" s="60">
        <v>9.07</v>
      </c>
      <c r="R38" s="46">
        <f t="shared" si="53"/>
        <v>102.12</v>
      </c>
      <c r="S38" s="60">
        <v>2.46</v>
      </c>
      <c r="T38" s="129"/>
      <c r="U38" s="41"/>
      <c r="V38" s="34"/>
      <c r="W38" s="34" t="s">
        <v>32</v>
      </c>
      <c r="X38" s="34">
        <v>25</v>
      </c>
      <c r="Y38" s="43">
        <v>1.97</v>
      </c>
      <c r="Z38" s="43">
        <v>0.25</v>
      </c>
      <c r="AA38" s="43">
        <v>12.07</v>
      </c>
      <c r="AB38" s="46">
        <f t="shared" si="45"/>
        <v>58.410000000000004</v>
      </c>
      <c r="AC38" s="46">
        <f>0.03*160/180</f>
        <v>2.6666666666666665E-2</v>
      </c>
      <c r="AD38" s="129"/>
      <c r="AE38" s="41"/>
      <c r="AF38" s="63">
        <v>489</v>
      </c>
      <c r="AG38" s="63" t="s">
        <v>114</v>
      </c>
      <c r="AH38" s="63">
        <v>37</v>
      </c>
      <c r="AI38" s="46">
        <v>2.91</v>
      </c>
      <c r="AJ38" s="46">
        <v>10.69</v>
      </c>
      <c r="AK38" s="46">
        <v>28.9</v>
      </c>
      <c r="AL38" s="60">
        <f t="shared" si="46"/>
        <v>223.45</v>
      </c>
      <c r="AM38" s="46"/>
      <c r="AN38" s="129"/>
      <c r="AO38" s="41"/>
      <c r="AP38" s="34">
        <v>395</v>
      </c>
      <c r="AQ38" s="34" t="s">
        <v>142</v>
      </c>
      <c r="AR38" s="34">
        <v>180</v>
      </c>
      <c r="AS38" s="46">
        <v>2.85</v>
      </c>
      <c r="AT38" s="34">
        <v>2.41</v>
      </c>
      <c r="AU38" s="38">
        <v>14.4</v>
      </c>
      <c r="AV38" s="46">
        <f t="shared" si="47"/>
        <v>90.690000000000012</v>
      </c>
      <c r="AW38" s="34">
        <v>1.17</v>
      </c>
      <c r="AX38" s="129"/>
      <c r="AY38" s="41"/>
      <c r="AZ38" s="34"/>
      <c r="BA38" s="34" t="s">
        <v>146</v>
      </c>
      <c r="BB38" s="34">
        <v>20</v>
      </c>
      <c r="BC38" s="46">
        <v>1.32</v>
      </c>
      <c r="BD38" s="46">
        <v>0.75</v>
      </c>
      <c r="BE38" s="46">
        <v>6.68</v>
      </c>
      <c r="BF38" s="46">
        <f t="shared" si="48"/>
        <v>38.75</v>
      </c>
      <c r="BG38" s="34"/>
      <c r="BH38" s="115"/>
      <c r="BI38" s="41"/>
      <c r="BJ38" s="34">
        <v>401</v>
      </c>
      <c r="BK38" s="34" t="s">
        <v>144</v>
      </c>
      <c r="BL38" s="34">
        <v>175</v>
      </c>
      <c r="BM38" s="34">
        <v>5</v>
      </c>
      <c r="BN38" s="34">
        <v>4.3</v>
      </c>
      <c r="BO38" s="38">
        <v>7.5</v>
      </c>
      <c r="BP38" s="46">
        <f t="shared" si="49"/>
        <v>88.699999999999989</v>
      </c>
      <c r="BQ38" s="34"/>
      <c r="BR38" s="115"/>
      <c r="BS38" s="41"/>
      <c r="BT38" s="34"/>
      <c r="BU38" s="34" t="s">
        <v>32</v>
      </c>
      <c r="BV38" s="34">
        <v>25</v>
      </c>
      <c r="BW38" s="60">
        <v>1.97</v>
      </c>
      <c r="BX38" s="60">
        <v>0.25</v>
      </c>
      <c r="BY38" s="60">
        <v>12.07</v>
      </c>
      <c r="BZ38" s="46">
        <f t="shared" ref="BZ38" si="54">BY38*4+BX38*9+BW38*4</f>
        <v>58.410000000000004</v>
      </c>
      <c r="CA38" s="60">
        <v>0.54</v>
      </c>
      <c r="CB38" s="115"/>
      <c r="CC38" s="41"/>
      <c r="CD38" s="41"/>
      <c r="CE38" s="34"/>
      <c r="CF38" s="34"/>
      <c r="CG38" s="41"/>
      <c r="CH38" s="41"/>
      <c r="CI38" s="42"/>
      <c r="CJ38" s="42"/>
      <c r="CK38" s="41"/>
      <c r="CL38" s="115"/>
      <c r="CM38" s="41"/>
      <c r="CN38" s="34">
        <v>479</v>
      </c>
      <c r="CO38" s="34" t="s">
        <v>186</v>
      </c>
      <c r="CP38" s="34">
        <v>50</v>
      </c>
      <c r="CQ38" s="46">
        <v>7.3</v>
      </c>
      <c r="CR38" s="46">
        <v>2.2999999999999998</v>
      </c>
      <c r="CS38" s="46">
        <v>29.25</v>
      </c>
      <c r="CT38" s="68">
        <f t="shared" si="52"/>
        <v>166.89999999999998</v>
      </c>
      <c r="CU38" s="46"/>
      <c r="CV38" s="129"/>
    </row>
    <row r="39" spans="1:162" x14ac:dyDescent="0.3">
      <c r="B39" s="23"/>
      <c r="C39" s="23" t="s">
        <v>32</v>
      </c>
      <c r="D39" s="23">
        <v>40</v>
      </c>
      <c r="E39" s="46">
        <v>3.16</v>
      </c>
      <c r="F39" s="46">
        <v>0.4</v>
      </c>
      <c r="G39" s="46">
        <v>19.32</v>
      </c>
      <c r="H39" s="46">
        <f t="shared" si="44"/>
        <v>93.52</v>
      </c>
      <c r="I39" s="60"/>
      <c r="J39" s="129"/>
      <c r="K39" s="41"/>
      <c r="L39" s="34"/>
      <c r="M39" s="34"/>
      <c r="N39" s="34"/>
      <c r="O39" s="46"/>
      <c r="P39" s="46"/>
      <c r="Q39" s="46"/>
      <c r="R39" s="46"/>
      <c r="S39" s="46"/>
      <c r="T39" s="129"/>
      <c r="U39" s="41"/>
      <c r="V39" s="34"/>
      <c r="W39" s="34" t="s">
        <v>38</v>
      </c>
      <c r="X39" s="34">
        <v>95</v>
      </c>
      <c r="Y39" s="43">
        <v>0.4</v>
      </c>
      <c r="Z39" s="43">
        <v>0.4</v>
      </c>
      <c r="AA39" s="43">
        <v>9.8000000000000007</v>
      </c>
      <c r="AB39" s="43">
        <v>44</v>
      </c>
      <c r="AC39" s="43">
        <v>10</v>
      </c>
      <c r="AD39" s="129"/>
      <c r="AE39" s="41"/>
      <c r="AF39" s="34"/>
      <c r="AG39" s="34" t="s">
        <v>32</v>
      </c>
      <c r="AH39" s="50">
        <v>30</v>
      </c>
      <c r="AI39" s="46">
        <v>2.37</v>
      </c>
      <c r="AJ39" s="46">
        <v>0.3</v>
      </c>
      <c r="AK39" s="46">
        <v>14.49</v>
      </c>
      <c r="AL39" s="46">
        <f t="shared" si="46"/>
        <v>70.14</v>
      </c>
      <c r="AM39" s="46"/>
      <c r="AN39" s="129"/>
      <c r="AO39" s="41"/>
      <c r="AP39" s="34"/>
      <c r="AQ39" s="34" t="s">
        <v>32</v>
      </c>
      <c r="AR39" s="34">
        <v>30</v>
      </c>
      <c r="AS39" s="46">
        <v>2.37</v>
      </c>
      <c r="AT39" s="46">
        <v>0.3</v>
      </c>
      <c r="AU39" s="46">
        <v>14.49</v>
      </c>
      <c r="AV39" s="46">
        <f t="shared" si="47"/>
        <v>70.14</v>
      </c>
      <c r="AW39" s="46"/>
      <c r="AX39" s="129"/>
      <c r="AY39" s="41"/>
      <c r="AZ39" s="34"/>
      <c r="BA39" s="34"/>
      <c r="BB39" s="34"/>
      <c r="BC39" s="46"/>
      <c r="BD39" s="46"/>
      <c r="BE39" s="46"/>
      <c r="BF39" s="67"/>
      <c r="BG39" s="34"/>
      <c r="BH39" s="115"/>
      <c r="BI39" s="41"/>
      <c r="BJ39" s="34">
        <v>473</v>
      </c>
      <c r="BK39" s="34" t="s">
        <v>96</v>
      </c>
      <c r="BL39" s="34">
        <v>25</v>
      </c>
      <c r="BM39" s="34">
        <v>1.95</v>
      </c>
      <c r="BN39" s="34">
        <v>1.53</v>
      </c>
      <c r="BO39" s="38">
        <v>16.600000000000001</v>
      </c>
      <c r="BP39" s="46">
        <f t="shared" si="49"/>
        <v>87.97</v>
      </c>
      <c r="BQ39" s="34"/>
      <c r="BR39" s="115"/>
      <c r="BS39" s="41"/>
      <c r="BT39" s="34" t="s">
        <v>198</v>
      </c>
      <c r="BU39" s="34" t="s">
        <v>195</v>
      </c>
      <c r="BV39" s="34">
        <v>30</v>
      </c>
      <c r="BW39" s="34">
        <v>2.4</v>
      </c>
      <c r="BX39" s="34">
        <v>0.84</v>
      </c>
      <c r="BY39" s="34">
        <v>15.1</v>
      </c>
      <c r="BZ39" s="38">
        <f t="shared" ref="BZ39" si="55">BY39*4+BX39*9+BW39*4</f>
        <v>77.559999999999988</v>
      </c>
      <c r="CA39" s="34">
        <v>0.09</v>
      </c>
      <c r="CB39" s="115"/>
      <c r="CC39" s="41"/>
      <c r="CD39" s="41"/>
      <c r="CE39" s="41"/>
      <c r="CF39" s="41"/>
      <c r="CG39" s="43"/>
      <c r="CH39" s="43"/>
      <c r="CI39" s="43"/>
      <c r="CJ39" s="43"/>
      <c r="CK39" s="43"/>
      <c r="CL39" s="115"/>
      <c r="CM39" s="41"/>
      <c r="CN39" s="34"/>
      <c r="CO39" s="34" t="s">
        <v>32</v>
      </c>
      <c r="CP39" s="34">
        <v>20</v>
      </c>
      <c r="CQ39" s="34">
        <f>7.9*20/100</f>
        <v>1.58</v>
      </c>
      <c r="CR39" s="34">
        <f>1*20/100</f>
        <v>0.2</v>
      </c>
      <c r="CS39" s="38">
        <f>48.3*20/100</f>
        <v>9.66</v>
      </c>
      <c r="CT39" s="46">
        <f t="shared" si="52"/>
        <v>46.76</v>
      </c>
      <c r="CV39" s="129"/>
    </row>
    <row r="40" spans="1:162" x14ac:dyDescent="0.3">
      <c r="E40" s="47"/>
      <c r="F40" s="47"/>
      <c r="G40" s="47"/>
      <c r="H40" s="47"/>
      <c r="I40" s="47"/>
      <c r="J40" s="129"/>
      <c r="K40" s="41"/>
      <c r="T40" s="129"/>
      <c r="U40" s="41"/>
      <c r="V40" s="41"/>
      <c r="W40" s="41"/>
      <c r="X40" s="41"/>
      <c r="Y40" s="43"/>
      <c r="Z40" s="43"/>
      <c r="AA40" s="43"/>
      <c r="AB40" s="43"/>
      <c r="AC40" s="41"/>
      <c r="AD40" s="129"/>
      <c r="AE40" s="41"/>
      <c r="AN40" s="129"/>
      <c r="AO40" s="41"/>
      <c r="AP40" s="34"/>
      <c r="AQ40" s="34"/>
      <c r="AR40" s="34"/>
      <c r="AS40" s="43"/>
      <c r="AT40" s="43"/>
      <c r="AU40" s="43"/>
      <c r="AV40" s="43"/>
      <c r="AW40" s="43"/>
      <c r="AX40" s="129"/>
      <c r="AY40" s="41"/>
      <c r="BH40" s="115"/>
      <c r="BI40" s="41"/>
      <c r="BJ40" s="34"/>
      <c r="BK40" s="34" t="s">
        <v>32</v>
      </c>
      <c r="BL40" s="34">
        <v>20</v>
      </c>
      <c r="BM40" s="24">
        <v>1.58</v>
      </c>
      <c r="BN40" s="24">
        <v>0.2</v>
      </c>
      <c r="BO40" s="24">
        <v>9.66</v>
      </c>
      <c r="BP40" s="46">
        <f t="shared" si="49"/>
        <v>46.76</v>
      </c>
      <c r="BR40" s="115"/>
      <c r="BS40" s="41"/>
      <c r="BT40" s="34"/>
      <c r="BU40" s="34" t="s">
        <v>38</v>
      </c>
      <c r="BV40" s="34">
        <v>95</v>
      </c>
      <c r="BW40" s="43">
        <v>0.4</v>
      </c>
      <c r="BX40" s="43">
        <v>0.4</v>
      </c>
      <c r="BY40" s="43">
        <v>9.8000000000000007</v>
      </c>
      <c r="BZ40" s="43">
        <v>44</v>
      </c>
      <c r="CA40" s="43">
        <v>10</v>
      </c>
      <c r="CB40" s="115"/>
      <c r="CC40" s="41"/>
      <c r="CD40" s="41"/>
      <c r="CE40" s="41"/>
      <c r="CF40" s="41"/>
      <c r="CG40" s="41"/>
      <c r="CH40" s="41"/>
      <c r="CI40" s="41"/>
      <c r="CJ40" s="41"/>
      <c r="CK40" s="41"/>
      <c r="CL40" s="115"/>
      <c r="CM40" s="41"/>
      <c r="CN40" s="41"/>
      <c r="CV40" s="129"/>
    </row>
    <row r="41" spans="1:162" x14ac:dyDescent="0.3">
      <c r="A41" s="52" t="s">
        <v>31</v>
      </c>
      <c r="B41" s="52"/>
      <c r="C41" s="52"/>
      <c r="D41" s="52">
        <f>SUM(D34:D40)</f>
        <v>477</v>
      </c>
      <c r="E41" s="64">
        <f t="shared" ref="E41:I41" si="56">SUM(E34:E40)</f>
        <v>16.849999999999998</v>
      </c>
      <c r="F41" s="64">
        <f t="shared" si="56"/>
        <v>18.629999999999995</v>
      </c>
      <c r="G41" s="64">
        <f t="shared" si="56"/>
        <v>118.17000000000002</v>
      </c>
      <c r="H41" s="64">
        <f t="shared" si="56"/>
        <v>707.75</v>
      </c>
      <c r="I41" s="64">
        <f t="shared" si="56"/>
        <v>20.560000000000002</v>
      </c>
      <c r="J41" s="129"/>
      <c r="K41" s="19" t="s">
        <v>31</v>
      </c>
      <c r="L41" s="19"/>
      <c r="M41" s="19"/>
      <c r="N41" s="21">
        <f t="shared" ref="N41:S41" si="57">SUM(N34:N39)</f>
        <v>410</v>
      </c>
      <c r="O41" s="21">
        <f t="shared" si="57"/>
        <v>31.2392</v>
      </c>
      <c r="P41" s="21">
        <f t="shared" si="57"/>
        <v>42.615600000000001</v>
      </c>
      <c r="Q41" s="21">
        <f t="shared" si="57"/>
        <v>84.091499999999996</v>
      </c>
      <c r="R41" s="21">
        <f t="shared" si="57"/>
        <v>844.86320000000001</v>
      </c>
      <c r="S41" s="21">
        <f t="shared" si="57"/>
        <v>18.388000000000002</v>
      </c>
      <c r="T41" s="129"/>
      <c r="U41" s="19" t="s">
        <v>31</v>
      </c>
      <c r="V41" s="19"/>
      <c r="W41" s="19"/>
      <c r="X41" s="19">
        <f>SUM(X34:X40)</f>
        <v>505</v>
      </c>
      <c r="Y41" s="19">
        <f>SUM(Y34:Y40)</f>
        <v>16.190000000000001</v>
      </c>
      <c r="Z41" s="19">
        <f>SUM(Z34:Z40)</f>
        <v>14.85</v>
      </c>
      <c r="AA41" s="19">
        <f>SUM(AA34:AA40)</f>
        <v>68.710000000000008</v>
      </c>
      <c r="AB41" s="19">
        <f>SUM(AB34:AB40)</f>
        <v>472.85000000000008</v>
      </c>
      <c r="AC41" s="19">
        <f t="shared" ref="AC41" si="58">SUM(AC34:AC40)</f>
        <v>24.496666666666666</v>
      </c>
      <c r="AD41" s="129"/>
      <c r="AE41" s="19" t="s">
        <v>31</v>
      </c>
      <c r="AF41" s="19"/>
      <c r="AG41" s="19"/>
      <c r="AH41" s="21">
        <f>SUM(AH34:AH40)</f>
        <v>447</v>
      </c>
      <c r="AI41" s="21">
        <f t="shared" ref="AI41:AM41" si="59">SUM(AI34:AI40)</f>
        <v>19.830000000000002</v>
      </c>
      <c r="AJ41" s="21">
        <f t="shared" si="59"/>
        <v>19.809999999999999</v>
      </c>
      <c r="AK41" s="21">
        <f t="shared" si="59"/>
        <v>83.779999999999987</v>
      </c>
      <c r="AL41" s="21">
        <f t="shared" si="59"/>
        <v>592.7299999999999</v>
      </c>
      <c r="AM41" s="21">
        <f t="shared" si="59"/>
        <v>7.6300000000000008</v>
      </c>
      <c r="AN41" s="129"/>
      <c r="AO41" s="19" t="s">
        <v>31</v>
      </c>
      <c r="AP41" s="19"/>
      <c r="AQ41" s="19"/>
      <c r="AR41" s="21">
        <f>SUM(AR34:AR40)</f>
        <v>390</v>
      </c>
      <c r="AS41" s="21">
        <f t="shared" ref="AS41:AW41" si="60">SUM(AS34:AS40)</f>
        <v>30.150000000000002</v>
      </c>
      <c r="AT41" s="21">
        <f t="shared" si="60"/>
        <v>22.220000000000002</v>
      </c>
      <c r="AU41" s="21">
        <f t="shared" si="60"/>
        <v>71.8</v>
      </c>
      <c r="AV41" s="21">
        <f t="shared" si="60"/>
        <v>607.78000000000009</v>
      </c>
      <c r="AW41" s="21">
        <f t="shared" si="60"/>
        <v>4.7699999999999996</v>
      </c>
      <c r="AX41" s="129"/>
      <c r="AY41" s="19" t="s">
        <v>31</v>
      </c>
      <c r="AZ41" s="19"/>
      <c r="BA41" s="19"/>
      <c r="BB41" s="21">
        <f t="shared" ref="BB41:BG41" si="61">SUM(BB34:BB39)</f>
        <v>425</v>
      </c>
      <c r="BC41" s="21">
        <f t="shared" si="61"/>
        <v>21.13</v>
      </c>
      <c r="BD41" s="21">
        <f t="shared" si="61"/>
        <v>17.13</v>
      </c>
      <c r="BE41" s="21">
        <f t="shared" si="61"/>
        <v>50.536000000000001</v>
      </c>
      <c r="BF41" s="21">
        <f t="shared" si="61"/>
        <v>440.834</v>
      </c>
      <c r="BG41" s="21">
        <f t="shared" si="61"/>
        <v>20.65</v>
      </c>
      <c r="BH41" s="115"/>
      <c r="BI41" s="19" t="s">
        <v>31</v>
      </c>
      <c r="BJ41" s="19"/>
      <c r="BK41" s="19"/>
      <c r="BL41" s="21">
        <f>SUM(BL34:BL40)</f>
        <v>460</v>
      </c>
      <c r="BM41" s="21">
        <f t="shared" ref="BM41:BQ41" si="62">SUM(BM34:BM40)</f>
        <v>13.729999999999999</v>
      </c>
      <c r="BN41" s="21">
        <f t="shared" si="62"/>
        <v>12.779999999999998</v>
      </c>
      <c r="BO41" s="21">
        <f t="shared" si="62"/>
        <v>62</v>
      </c>
      <c r="BP41" s="21">
        <f t="shared" si="62"/>
        <v>417.93999999999994</v>
      </c>
      <c r="BQ41" s="21">
        <f t="shared" si="62"/>
        <v>0.04</v>
      </c>
      <c r="BR41" s="115"/>
      <c r="BS41" s="19" t="s">
        <v>31</v>
      </c>
      <c r="BT41" s="19"/>
      <c r="BU41" s="19"/>
      <c r="BV41" s="19">
        <f>SUM(BV34:BV40)</f>
        <v>550</v>
      </c>
      <c r="BW41" s="21">
        <f>SUM(BW34:BW40)</f>
        <v>13.180000000000001</v>
      </c>
      <c r="BX41" s="19">
        <f t="shared" ref="BX41:CA41" si="63">SUM(BX34:BX40)</f>
        <v>13.58</v>
      </c>
      <c r="BY41" s="19">
        <f t="shared" si="63"/>
        <v>91.46</v>
      </c>
      <c r="BZ41" s="19">
        <f t="shared" si="63"/>
        <v>540.38</v>
      </c>
      <c r="CA41" s="19">
        <f t="shared" si="63"/>
        <v>28.23</v>
      </c>
      <c r="CB41" s="115"/>
      <c r="CC41" s="19" t="s">
        <v>31</v>
      </c>
      <c r="CD41" s="19"/>
      <c r="CE41" s="19"/>
      <c r="CF41" s="21">
        <f>SUM(CF34:CF39)</f>
        <v>435</v>
      </c>
      <c r="CG41" s="21">
        <f t="shared" ref="CG41:CK41" si="64">SUM(CG34:CG39)</f>
        <v>40.692900000000002</v>
      </c>
      <c r="CH41" s="21">
        <f t="shared" si="64"/>
        <v>25.285699999999999</v>
      </c>
      <c r="CI41" s="21">
        <f t="shared" si="64"/>
        <v>58.216499999999996</v>
      </c>
      <c r="CJ41" s="21">
        <f t="shared" si="64"/>
        <v>623.20889999999997</v>
      </c>
      <c r="CK41" s="21">
        <f t="shared" si="64"/>
        <v>11.967499999999999</v>
      </c>
      <c r="CL41" s="115"/>
      <c r="CM41" s="19" t="s">
        <v>31</v>
      </c>
      <c r="CN41" s="19"/>
      <c r="CO41" s="19"/>
      <c r="CP41" s="21">
        <f t="shared" ref="CP41:CU41" si="65">SUM(CP34:CP40)</f>
        <v>440</v>
      </c>
      <c r="CQ41" s="21">
        <f t="shared" si="65"/>
        <v>29.72</v>
      </c>
      <c r="CR41" s="21">
        <f t="shared" si="65"/>
        <v>18.559999999999999</v>
      </c>
      <c r="CS41" s="21">
        <f t="shared" si="65"/>
        <v>71.760000000000005</v>
      </c>
      <c r="CT41" s="21">
        <f t="shared" si="65"/>
        <v>572.95999999999992</v>
      </c>
      <c r="CU41" s="21">
        <f t="shared" si="65"/>
        <v>18.66</v>
      </c>
      <c r="CV41" s="129"/>
    </row>
    <row r="42" spans="1:162" x14ac:dyDescent="0.3">
      <c r="A42" s="52" t="s">
        <v>30</v>
      </c>
      <c r="B42" s="52"/>
      <c r="C42" s="52"/>
      <c r="D42" s="19" t="s">
        <v>119</v>
      </c>
      <c r="E42" s="21">
        <v>14.7</v>
      </c>
      <c r="F42" s="21">
        <v>16.45</v>
      </c>
      <c r="G42" s="21">
        <v>71.05</v>
      </c>
      <c r="H42" s="21">
        <v>490</v>
      </c>
      <c r="I42" s="64"/>
      <c r="J42" s="129"/>
      <c r="K42" s="19" t="s">
        <v>30</v>
      </c>
      <c r="L42" s="19"/>
      <c r="M42" s="19"/>
      <c r="N42" s="19" t="s">
        <v>119</v>
      </c>
      <c r="O42" s="21">
        <v>14.7</v>
      </c>
      <c r="P42" s="21">
        <v>16.45</v>
      </c>
      <c r="Q42" s="21">
        <v>71.05</v>
      </c>
      <c r="R42" s="21">
        <v>490</v>
      </c>
      <c r="S42" s="21"/>
      <c r="T42" s="129"/>
      <c r="U42" s="19" t="s">
        <v>30</v>
      </c>
      <c r="V42" s="19"/>
      <c r="W42" s="19"/>
      <c r="X42" s="19" t="s">
        <v>119</v>
      </c>
      <c r="Y42" s="21">
        <v>14.7</v>
      </c>
      <c r="Z42" s="21">
        <v>16.45</v>
      </c>
      <c r="AA42" s="21">
        <v>71.05</v>
      </c>
      <c r="AB42" s="21">
        <v>490</v>
      </c>
      <c r="AC42" s="21"/>
      <c r="AD42" s="129"/>
      <c r="AE42" s="19" t="s">
        <v>30</v>
      </c>
      <c r="AF42" s="19"/>
      <c r="AG42" s="19"/>
      <c r="AH42" s="19" t="s">
        <v>119</v>
      </c>
      <c r="AI42" s="21">
        <v>14.7</v>
      </c>
      <c r="AJ42" s="21">
        <v>16.45</v>
      </c>
      <c r="AK42" s="21">
        <v>71.05</v>
      </c>
      <c r="AL42" s="21">
        <v>490</v>
      </c>
      <c r="AM42" s="21"/>
      <c r="AN42" s="129"/>
      <c r="AO42" s="19" t="s">
        <v>30</v>
      </c>
      <c r="AP42" s="19"/>
      <c r="AQ42" s="19"/>
      <c r="AR42" s="19" t="s">
        <v>119</v>
      </c>
      <c r="AS42" s="21">
        <v>14.7</v>
      </c>
      <c r="AT42" s="21">
        <v>16.45</v>
      </c>
      <c r="AU42" s="21">
        <v>71.05</v>
      </c>
      <c r="AV42" s="21">
        <v>490</v>
      </c>
      <c r="AW42" s="21"/>
      <c r="AX42" s="129"/>
      <c r="AY42" s="19" t="s">
        <v>30</v>
      </c>
      <c r="AZ42" s="19"/>
      <c r="BA42" s="19"/>
      <c r="BB42" s="19" t="s">
        <v>119</v>
      </c>
      <c r="BC42" s="21">
        <v>14.7</v>
      </c>
      <c r="BD42" s="21">
        <v>16.45</v>
      </c>
      <c r="BE42" s="21">
        <v>71.05</v>
      </c>
      <c r="BF42" s="21">
        <v>490</v>
      </c>
      <c r="BG42" s="21"/>
      <c r="BH42" s="115"/>
      <c r="BI42" s="19" t="s">
        <v>30</v>
      </c>
      <c r="BJ42" s="19"/>
      <c r="BK42" s="19"/>
      <c r="BL42" s="19" t="s">
        <v>119</v>
      </c>
      <c r="BM42" s="21">
        <v>14.7</v>
      </c>
      <c r="BN42" s="21">
        <v>16.45</v>
      </c>
      <c r="BO42" s="21">
        <v>71.05</v>
      </c>
      <c r="BP42" s="21">
        <v>490</v>
      </c>
      <c r="BQ42" s="21"/>
      <c r="BR42" s="115"/>
      <c r="BS42" s="19" t="s">
        <v>30</v>
      </c>
      <c r="BT42" s="19"/>
      <c r="BU42" s="19"/>
      <c r="BV42" s="19" t="s">
        <v>119</v>
      </c>
      <c r="BW42" s="21">
        <v>14.7</v>
      </c>
      <c r="BX42" s="21">
        <v>16.45</v>
      </c>
      <c r="BY42" s="21">
        <v>71.05</v>
      </c>
      <c r="BZ42" s="21">
        <v>490</v>
      </c>
      <c r="CA42" s="21"/>
      <c r="CB42" s="115"/>
      <c r="CC42" s="19" t="s">
        <v>30</v>
      </c>
      <c r="CD42" s="19"/>
      <c r="CE42" s="19"/>
      <c r="CF42" s="19" t="s">
        <v>119</v>
      </c>
      <c r="CG42" s="21">
        <v>14.7</v>
      </c>
      <c r="CH42" s="21">
        <v>16.45</v>
      </c>
      <c r="CI42" s="21">
        <v>71.05</v>
      </c>
      <c r="CJ42" s="21">
        <v>490</v>
      </c>
      <c r="CK42" s="21"/>
      <c r="CL42" s="115"/>
      <c r="CM42" s="19" t="s">
        <v>30</v>
      </c>
      <c r="CN42" s="19"/>
      <c r="CO42" s="19"/>
      <c r="CP42" s="19" t="s">
        <v>119</v>
      </c>
      <c r="CQ42" s="21">
        <v>14.7</v>
      </c>
      <c r="CR42" s="21">
        <v>16.45</v>
      </c>
      <c r="CS42" s="21">
        <v>71.05</v>
      </c>
      <c r="CT42" s="21">
        <v>490</v>
      </c>
      <c r="CU42" s="21"/>
      <c r="CV42" s="129"/>
    </row>
    <row r="43" spans="1:162" x14ac:dyDescent="0.3">
      <c r="J43" s="129"/>
      <c r="K43" s="41"/>
      <c r="L43" s="41"/>
      <c r="M43" s="41"/>
      <c r="N43" s="41"/>
      <c r="O43" s="41"/>
      <c r="P43" s="41"/>
      <c r="Q43" s="42"/>
      <c r="R43" s="42"/>
      <c r="S43" s="41"/>
      <c r="T43" s="129"/>
      <c r="U43" s="41"/>
      <c r="V43" s="41"/>
      <c r="W43" s="41"/>
      <c r="X43" s="41"/>
      <c r="Y43" s="41"/>
      <c r="Z43" s="41"/>
      <c r="AA43" s="42"/>
      <c r="AB43" s="42"/>
      <c r="AC43" s="41"/>
      <c r="AD43" s="129"/>
      <c r="AE43" s="41"/>
      <c r="AF43" s="41"/>
      <c r="AG43" s="41"/>
      <c r="AH43" s="41"/>
      <c r="AI43" s="41"/>
      <c r="AJ43" s="41"/>
      <c r="AK43" s="42"/>
      <c r="AL43" s="42"/>
      <c r="AM43" s="41"/>
      <c r="AN43" s="129"/>
      <c r="AO43" s="41"/>
      <c r="AP43" s="41"/>
      <c r="AQ43" s="41"/>
      <c r="AR43" s="41"/>
      <c r="AS43" s="41"/>
      <c r="AT43" s="41"/>
      <c r="AU43" s="42"/>
      <c r="AV43" s="42"/>
      <c r="AW43" s="41"/>
      <c r="AX43" s="129"/>
      <c r="AY43" s="41"/>
      <c r="AZ43" s="41"/>
      <c r="BA43" s="41"/>
      <c r="BB43" s="41"/>
      <c r="BC43" s="41"/>
      <c r="BD43" s="41"/>
      <c r="BE43" s="41"/>
      <c r="BF43" s="41"/>
      <c r="BG43" s="41"/>
      <c r="BH43" s="115"/>
      <c r="BI43" s="41"/>
      <c r="BJ43" s="41"/>
      <c r="BK43" s="41"/>
      <c r="BL43" s="41"/>
      <c r="BM43" s="41"/>
      <c r="BN43" s="41"/>
      <c r="BO43" s="41"/>
      <c r="BP43" s="41"/>
      <c r="BQ43" s="41"/>
      <c r="BR43" s="115"/>
      <c r="BS43" s="41"/>
      <c r="BT43" s="41"/>
      <c r="BU43" s="41"/>
      <c r="BV43" s="41"/>
      <c r="BW43" s="41"/>
      <c r="BX43" s="41"/>
      <c r="BY43" s="42"/>
      <c r="BZ43" s="42"/>
      <c r="CA43" s="41"/>
      <c r="CB43" s="115"/>
      <c r="CC43" s="41"/>
      <c r="CD43" s="41"/>
      <c r="CE43" s="41"/>
      <c r="CF43" s="41"/>
      <c r="CG43" s="41"/>
      <c r="CH43" s="41"/>
      <c r="CI43" s="42"/>
      <c r="CJ43" s="42"/>
      <c r="CK43" s="41"/>
      <c r="CL43" s="115"/>
      <c r="CM43" s="41"/>
      <c r="CN43" s="41"/>
      <c r="CO43" s="41"/>
      <c r="CP43" s="41"/>
      <c r="CQ43" s="41"/>
      <c r="CR43" s="41"/>
      <c r="CS43" s="42"/>
      <c r="CT43" s="42"/>
      <c r="CU43" s="41"/>
      <c r="CV43" s="129"/>
    </row>
    <row r="44" spans="1:162" x14ac:dyDescent="0.3">
      <c r="A44" s="29" t="s">
        <v>34</v>
      </c>
      <c r="B44" s="29"/>
      <c r="C44" s="29"/>
      <c r="D44" s="29"/>
      <c r="E44" s="30">
        <f>E41+E30+E19+E12</f>
        <v>70.45</v>
      </c>
      <c r="F44" s="30">
        <f>F41+F30+F19+F12</f>
        <v>51.679999999999993</v>
      </c>
      <c r="G44" s="30">
        <f>G41+G30+G19+G12</f>
        <v>247.31</v>
      </c>
      <c r="H44" s="30">
        <f>H41+H30+H19+H12</f>
        <v>1740.56</v>
      </c>
      <c r="I44" s="30">
        <f>I41+I30+I19+I12</f>
        <v>194.57999999999998</v>
      </c>
      <c r="J44" s="129"/>
      <c r="K44" s="31" t="s">
        <v>34</v>
      </c>
      <c r="L44" s="31"/>
      <c r="M44" s="31"/>
      <c r="N44" s="31"/>
      <c r="O44" s="20">
        <f>O41+O30+O19+O12</f>
        <v>65.910738461538472</v>
      </c>
      <c r="P44" s="20">
        <f>P41+P30+P19+P12</f>
        <v>69.051369230769225</v>
      </c>
      <c r="Q44" s="20">
        <f>Q41+Q30+Q19+Q12</f>
        <v>231.60857692307692</v>
      </c>
      <c r="R44" s="20">
        <f>R41+R30+R19+R12</f>
        <v>1811.1395846153846</v>
      </c>
      <c r="S44" s="20">
        <f>S41+S30+S19+S12</f>
        <v>66.587230769230771</v>
      </c>
      <c r="T44" s="129"/>
      <c r="U44" s="31" t="s">
        <v>34</v>
      </c>
      <c r="V44" s="31"/>
      <c r="W44" s="31"/>
      <c r="X44" s="31"/>
      <c r="Y44" s="20">
        <f>Y41+Y30+Y19+Y12</f>
        <v>50.15</v>
      </c>
      <c r="Z44" s="20">
        <f>Z41+Z30+Z19+Z12</f>
        <v>49</v>
      </c>
      <c r="AA44" s="20">
        <f>AA41+AA30+AA19+AA12</f>
        <v>199.06000000000003</v>
      </c>
      <c r="AB44" s="20">
        <f>AB41+AB30+AB19+AB12</f>
        <v>1441.8400000000001</v>
      </c>
      <c r="AC44" s="20">
        <f>AC41+AC30+AC19+AC12</f>
        <v>45.066666666666663</v>
      </c>
      <c r="AD44" s="129"/>
      <c r="AE44" s="31" t="s">
        <v>34</v>
      </c>
      <c r="AF44" s="31"/>
      <c r="AG44" s="31"/>
      <c r="AH44" s="31"/>
      <c r="AI44" s="20">
        <f>AI41+AI30+AI19+AI12</f>
        <v>50.460000000000008</v>
      </c>
      <c r="AJ44" s="20">
        <f>AJ41+AJ30+AJ19+AJ12</f>
        <v>47.16</v>
      </c>
      <c r="AK44" s="20">
        <f>AK41+AK30+AK19+AK12</f>
        <v>234.26</v>
      </c>
      <c r="AL44" s="20">
        <f>AL41+AL30+AL19+AL12</f>
        <v>1567.02</v>
      </c>
      <c r="AM44" s="20">
        <f>AM41+AM30+AM19+AM12</f>
        <v>51.02</v>
      </c>
      <c r="AN44" s="129"/>
      <c r="AO44" s="31" t="s">
        <v>34</v>
      </c>
      <c r="AP44" s="31"/>
      <c r="AQ44" s="31"/>
      <c r="AR44" s="31"/>
      <c r="AS44" s="20">
        <f>AS41+AS30+AS19+AS12</f>
        <v>84.98660000000001</v>
      </c>
      <c r="AT44" s="20">
        <f>AT41+AT30+AT19+AT12</f>
        <v>73.127299999999991</v>
      </c>
      <c r="AU44" s="20">
        <f>AU41+AU30+AU19+AU12</f>
        <v>214.97369999999998</v>
      </c>
      <c r="AV44" s="20">
        <f>AV41+AV30+AV19+AV12</f>
        <v>1862.0869</v>
      </c>
      <c r="AW44" s="20">
        <f>AW41+AW30+AW19+AW12</f>
        <v>32.802500000000002</v>
      </c>
      <c r="AX44" s="129"/>
      <c r="AY44" s="31" t="s">
        <v>34</v>
      </c>
      <c r="AZ44" s="31"/>
      <c r="BA44" s="31"/>
      <c r="BB44" s="31"/>
      <c r="BC44" s="20">
        <f>BC41+BC30+BC19+BC12</f>
        <v>65.55</v>
      </c>
      <c r="BD44" s="20">
        <f>BD41+BD30+BD19+BD12</f>
        <v>56.449999999999996</v>
      </c>
      <c r="BE44" s="20">
        <f>BE41+BE30+BE19+BE12</f>
        <v>214.19599999999997</v>
      </c>
      <c r="BF44" s="20">
        <f>BF41+BF30+BF19+BF12</f>
        <v>1631.134</v>
      </c>
      <c r="BG44" s="20"/>
      <c r="BH44" s="115"/>
      <c r="BI44" s="31" t="s">
        <v>34</v>
      </c>
      <c r="BJ44" s="31"/>
      <c r="BK44" s="31"/>
      <c r="BL44" s="31"/>
      <c r="BM44" s="20">
        <f>BM41+BM30+BM19+BM12</f>
        <v>59.890000000000008</v>
      </c>
      <c r="BN44" s="20">
        <f>BN41+BN30+BN19+BN12</f>
        <v>51</v>
      </c>
      <c r="BO44" s="20">
        <f>BO41+BO30+BO19+BO12</f>
        <v>190.08</v>
      </c>
      <c r="BP44" s="20">
        <f>BP41+BP30+BP19+BP12</f>
        <v>1458.48</v>
      </c>
      <c r="BQ44" s="20"/>
      <c r="BR44" s="115"/>
      <c r="BS44" s="31" t="s">
        <v>34</v>
      </c>
      <c r="BT44" s="31"/>
      <c r="BU44" s="31"/>
      <c r="BV44" s="31"/>
      <c r="BW44" s="20">
        <f>BW41+BW30+BW19+BW12</f>
        <v>49.57</v>
      </c>
      <c r="BX44" s="20">
        <f>BX41+BX30+BX19+BX12</f>
        <v>46.7</v>
      </c>
      <c r="BY44" s="20">
        <f>BY41+BY30+BY19+BY12</f>
        <v>215.82</v>
      </c>
      <c r="BZ44" s="20">
        <f>BZ41+BZ30+BZ19+BZ12</f>
        <v>1481.4599999999998</v>
      </c>
      <c r="CA44" s="20">
        <f>CA41+CA30+CA19+CA12</f>
        <v>55.175999999999995</v>
      </c>
      <c r="CB44" s="115"/>
      <c r="CC44" s="31" t="s">
        <v>34</v>
      </c>
      <c r="CD44" s="31"/>
      <c r="CE44" s="31"/>
      <c r="CF44" s="31"/>
      <c r="CG44" s="20">
        <f>CG41+CG30+CG19+CG12</f>
        <v>82.832899999999995</v>
      </c>
      <c r="CH44" s="20">
        <f>CH41+CH30+CH19+CH12</f>
        <v>63.960699999999996</v>
      </c>
      <c r="CI44" s="20">
        <f>CI41+CI30+CI19+CI12</f>
        <v>192.1525</v>
      </c>
      <c r="CJ44" s="20">
        <f>CJ41+CJ30+CJ19+CJ12</f>
        <v>1675.5879</v>
      </c>
      <c r="CK44" s="20">
        <f>CK41+CK30+CK19+CK12</f>
        <v>27.268750000000001</v>
      </c>
      <c r="CL44" s="115"/>
      <c r="CM44" s="31" t="s">
        <v>34</v>
      </c>
      <c r="CN44" s="31"/>
      <c r="CO44" s="31"/>
      <c r="CP44" s="31"/>
      <c r="CQ44" s="20">
        <f>CQ41+CQ30+CQ19+CQ12</f>
        <v>69.716999999999999</v>
      </c>
      <c r="CR44" s="20">
        <f>CR41+CR30+CR19+CR12</f>
        <v>54.563999999999993</v>
      </c>
      <c r="CS44" s="20">
        <f>CS41+CS30+CS19+CS12</f>
        <v>243.49619999999999</v>
      </c>
      <c r="CT44" s="20">
        <f>CT41+CT30+CT19+CT12</f>
        <v>1736.0088000000001</v>
      </c>
      <c r="CU44" s="20">
        <f>CU41+CU30+CU19+CU12</f>
        <v>64.203999999999994</v>
      </c>
      <c r="CV44" s="129"/>
    </row>
    <row r="45" spans="1:162" x14ac:dyDescent="0.3">
      <c r="A45" s="29" t="s">
        <v>30</v>
      </c>
      <c r="B45" s="29"/>
      <c r="C45" s="29"/>
      <c r="D45" s="29"/>
      <c r="E45" s="20">
        <v>42</v>
      </c>
      <c r="F45" s="20">
        <v>47</v>
      </c>
      <c r="G45" s="20">
        <v>203</v>
      </c>
      <c r="H45" s="20">
        <v>1400</v>
      </c>
      <c r="I45" s="30"/>
      <c r="J45" s="129"/>
      <c r="K45" s="31" t="s">
        <v>30</v>
      </c>
      <c r="L45" s="31"/>
      <c r="M45" s="31"/>
      <c r="N45" s="31"/>
      <c r="O45" s="20">
        <v>42</v>
      </c>
      <c r="P45" s="20">
        <v>47</v>
      </c>
      <c r="Q45" s="20">
        <v>203</v>
      </c>
      <c r="R45" s="20">
        <v>1400</v>
      </c>
      <c r="S45" s="20"/>
      <c r="T45" s="129"/>
      <c r="U45" s="31" t="s">
        <v>30</v>
      </c>
      <c r="V45" s="31"/>
      <c r="W45" s="31"/>
      <c r="X45" s="31"/>
      <c r="Y45" s="20">
        <v>42</v>
      </c>
      <c r="Z45" s="20">
        <v>47</v>
      </c>
      <c r="AA45" s="20">
        <v>203</v>
      </c>
      <c r="AB45" s="20">
        <v>1400</v>
      </c>
      <c r="AC45" s="20"/>
      <c r="AD45" s="129"/>
      <c r="AE45" s="31" t="s">
        <v>30</v>
      </c>
      <c r="AF45" s="31"/>
      <c r="AG45" s="31"/>
      <c r="AH45" s="31"/>
      <c r="AI45" s="20">
        <v>42</v>
      </c>
      <c r="AJ45" s="20">
        <v>47</v>
      </c>
      <c r="AK45" s="20">
        <v>203</v>
      </c>
      <c r="AL45" s="20">
        <v>1400</v>
      </c>
      <c r="AM45" s="20"/>
      <c r="AN45" s="129"/>
      <c r="AO45" s="31" t="s">
        <v>30</v>
      </c>
      <c r="AP45" s="31"/>
      <c r="AQ45" s="31"/>
      <c r="AR45" s="31"/>
      <c r="AS45" s="20">
        <v>42</v>
      </c>
      <c r="AT45" s="20">
        <v>47</v>
      </c>
      <c r="AU45" s="20">
        <v>203</v>
      </c>
      <c r="AV45" s="20">
        <v>1400</v>
      </c>
      <c r="AW45" s="20"/>
      <c r="AX45" s="129"/>
      <c r="AY45" s="31" t="s">
        <v>30</v>
      </c>
      <c r="AZ45" s="31"/>
      <c r="BA45" s="31"/>
      <c r="BB45" s="31"/>
      <c r="BC45" s="20">
        <v>42</v>
      </c>
      <c r="BD45" s="20">
        <v>47</v>
      </c>
      <c r="BE45" s="20">
        <v>203</v>
      </c>
      <c r="BF45" s="20">
        <v>1400</v>
      </c>
      <c r="BG45" s="20"/>
      <c r="BH45" s="115"/>
      <c r="BI45" s="31" t="s">
        <v>30</v>
      </c>
      <c r="BJ45" s="31"/>
      <c r="BK45" s="31"/>
      <c r="BL45" s="31"/>
      <c r="BM45" s="20">
        <v>42</v>
      </c>
      <c r="BN45" s="20">
        <v>47</v>
      </c>
      <c r="BO45" s="20">
        <v>203</v>
      </c>
      <c r="BP45" s="20">
        <v>1400</v>
      </c>
      <c r="BQ45" s="20"/>
      <c r="BR45" s="115"/>
      <c r="BS45" s="31" t="s">
        <v>30</v>
      </c>
      <c r="BT45" s="31"/>
      <c r="BU45" s="31"/>
      <c r="BV45" s="31"/>
      <c r="BW45" s="20">
        <v>42</v>
      </c>
      <c r="BX45" s="20">
        <v>47</v>
      </c>
      <c r="BY45" s="20">
        <v>203</v>
      </c>
      <c r="BZ45" s="20">
        <v>1400</v>
      </c>
      <c r="CA45" s="20"/>
      <c r="CB45" s="115"/>
      <c r="CC45" s="31" t="s">
        <v>30</v>
      </c>
      <c r="CD45" s="31"/>
      <c r="CE45" s="31"/>
      <c r="CF45" s="31"/>
      <c r="CG45" s="20">
        <v>42</v>
      </c>
      <c r="CH45" s="20">
        <v>47</v>
      </c>
      <c r="CI45" s="20">
        <v>203</v>
      </c>
      <c r="CJ45" s="20">
        <v>1400</v>
      </c>
      <c r="CK45" s="20"/>
      <c r="CL45" s="115"/>
      <c r="CM45" s="31" t="s">
        <v>30</v>
      </c>
      <c r="CN45" s="31"/>
      <c r="CO45" s="31"/>
      <c r="CP45" s="31"/>
      <c r="CQ45" s="20">
        <v>42</v>
      </c>
      <c r="CR45" s="20">
        <v>47</v>
      </c>
      <c r="CS45" s="20">
        <v>203</v>
      </c>
      <c r="CT45" s="20">
        <v>1400</v>
      </c>
      <c r="CU45" s="20"/>
      <c r="CV45" s="129"/>
    </row>
    <row r="46" spans="1:162" x14ac:dyDescent="0.3">
      <c r="J46" s="129"/>
      <c r="T46" s="129"/>
      <c r="AD46" s="129"/>
      <c r="AI46" s="47"/>
      <c r="AN46" s="129"/>
      <c r="AX46" s="129"/>
      <c r="BH46" s="115"/>
      <c r="BR46" s="115"/>
      <c r="CB46" s="115"/>
      <c r="CL46" s="115"/>
      <c r="CV46" s="129"/>
    </row>
  </sheetData>
  <mergeCells count="120">
    <mergeCell ref="CV1:CV1048576"/>
    <mergeCell ref="BI4:BQ4"/>
    <mergeCell ref="BI15:BQ15"/>
    <mergeCell ref="BI22:BQ22"/>
    <mergeCell ref="BI33:BQ33"/>
    <mergeCell ref="BS4:CA4"/>
    <mergeCell ref="BS15:CA15"/>
    <mergeCell ref="BS22:CA22"/>
    <mergeCell ref="BS33:CA33"/>
    <mergeCell ref="CM4:CU4"/>
    <mergeCell ref="CM15:CU15"/>
    <mergeCell ref="CM22:CU22"/>
    <mergeCell ref="CM33:CU33"/>
    <mergeCell ref="BI1:BI2"/>
    <mergeCell ref="BJ1:BJ2"/>
    <mergeCell ref="BK1:BK2"/>
    <mergeCell ref="BL1:BL2"/>
    <mergeCell ref="BM1:BO1"/>
    <mergeCell ref="BP1:BP2"/>
    <mergeCell ref="BQ1:BQ2"/>
    <mergeCell ref="BS1:BS2"/>
    <mergeCell ref="BT1:BT2"/>
    <mergeCell ref="BU1:BU2"/>
    <mergeCell ref="BR1:BR1048576"/>
    <mergeCell ref="U15:AC15"/>
    <mergeCell ref="U22:AC22"/>
    <mergeCell ref="U33:AC33"/>
    <mergeCell ref="CC4:CK4"/>
    <mergeCell ref="CC15:CK15"/>
    <mergeCell ref="CC22:CK22"/>
    <mergeCell ref="AX1:AX1048576"/>
    <mergeCell ref="AO4:AW4"/>
    <mergeCell ref="AO15:AW15"/>
    <mergeCell ref="BH1:BH1048576"/>
    <mergeCell ref="AY4:BG4"/>
    <mergeCell ref="AY15:BG15"/>
    <mergeCell ref="AY22:BG22"/>
    <mergeCell ref="AY33:BG33"/>
    <mergeCell ref="AO33:AW33"/>
    <mergeCell ref="AO22:AW22"/>
    <mergeCell ref="AE4:AM4"/>
    <mergeCell ref="AE15:AM15"/>
    <mergeCell ref="AE22:AM22"/>
    <mergeCell ref="AE33:AM33"/>
    <mergeCell ref="AN1:AN1048576"/>
    <mergeCell ref="U4:AC4"/>
    <mergeCell ref="AD1:AD1048576"/>
    <mergeCell ref="CC33:CK33"/>
    <mergeCell ref="K4:S4"/>
    <mergeCell ref="K15:S15"/>
    <mergeCell ref="K22:S22"/>
    <mergeCell ref="K33:S33"/>
    <mergeCell ref="T1:T1048576"/>
    <mergeCell ref="A4:I4"/>
    <mergeCell ref="A15:I15"/>
    <mergeCell ref="A22:I22"/>
    <mergeCell ref="A33:I33"/>
    <mergeCell ref="J1:J1048576"/>
    <mergeCell ref="BF1:BF2"/>
    <mergeCell ref="BG1:BG2"/>
    <mergeCell ref="AY1:AY2"/>
    <mergeCell ref="AZ1:AZ2"/>
    <mergeCell ref="BA1:BA2"/>
    <mergeCell ref="BB1:BB2"/>
    <mergeCell ref="BC1:BE1"/>
    <mergeCell ref="AV1:AV2"/>
    <mergeCell ref="AW1:AW2"/>
    <mergeCell ref="AO1:AO2"/>
    <mergeCell ref="AP1:AP2"/>
    <mergeCell ref="AQ1:AQ2"/>
    <mergeCell ref="AR1:AR2"/>
    <mergeCell ref="AS1:AU1"/>
    <mergeCell ref="A1:A2"/>
    <mergeCell ref="E1:G1"/>
    <mergeCell ref="H1:H2"/>
    <mergeCell ref="I1:I2"/>
    <mergeCell ref="B1:B2"/>
    <mergeCell ref="C1:C2"/>
    <mergeCell ref="D1:D2"/>
    <mergeCell ref="K1:K2"/>
    <mergeCell ref="L1:L2"/>
    <mergeCell ref="M1:M2"/>
    <mergeCell ref="N1:N2"/>
    <mergeCell ref="O1:Q1"/>
    <mergeCell ref="R1:R2"/>
    <mergeCell ref="S1:S2"/>
    <mergeCell ref="U1:U2"/>
    <mergeCell ref="V1:V2"/>
    <mergeCell ref="W1:W2"/>
    <mergeCell ref="X1:X2"/>
    <mergeCell ref="Y1:AA1"/>
    <mergeCell ref="AB1:AB2"/>
    <mergeCell ref="AC1:AC2"/>
    <mergeCell ref="AE1:AE2"/>
    <mergeCell ref="AM1:AM2"/>
    <mergeCell ref="AF1:AF2"/>
    <mergeCell ref="AG1:AG2"/>
    <mergeCell ref="AH1:AH2"/>
    <mergeCell ref="AI1:AK1"/>
    <mergeCell ref="AL1:AL2"/>
    <mergeCell ref="BV1:BV2"/>
    <mergeCell ref="BW1:BY1"/>
    <mergeCell ref="BZ1:BZ2"/>
    <mergeCell ref="CA1:CA2"/>
    <mergeCell ref="CC1:CC2"/>
    <mergeCell ref="CB1:CB1048576"/>
    <mergeCell ref="CD1:CD2"/>
    <mergeCell ref="CE1:CE2"/>
    <mergeCell ref="CF1:CF2"/>
    <mergeCell ref="CG1:CI1"/>
    <mergeCell ref="CJ1:CJ2"/>
    <mergeCell ref="CQ1:CS1"/>
    <mergeCell ref="CT1:CT2"/>
    <mergeCell ref="CU1:CU2"/>
    <mergeCell ref="CK1:CK2"/>
    <mergeCell ref="CM1:CM2"/>
    <mergeCell ref="CN1:CN2"/>
    <mergeCell ref="CO1:CO2"/>
    <mergeCell ref="CP1:CP2"/>
    <mergeCell ref="CL1:CL1048576"/>
  </mergeCells>
  <pageMargins left="0.6692913385826772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3"/>
  <sheetViews>
    <sheetView tabSelected="1" zoomScale="120" zoomScaleNormal="120" workbookViewId="0">
      <pane ySplit="1" topLeftCell="A257" activePane="bottomLeft" state="frozen"/>
      <selection pane="bottomLeft" activeCell="V263" sqref="V263"/>
    </sheetView>
  </sheetViews>
  <sheetFormatPr defaultColWidth="4.33203125" defaultRowHeight="10.5" customHeight="1" x14ac:dyDescent="0.2"/>
  <cols>
    <col min="1" max="1" width="4.33203125" style="5"/>
    <col min="2" max="2" width="24.44140625" style="5" customWidth="1"/>
    <col min="3" max="3" width="4.33203125" style="5" customWidth="1"/>
    <col min="4" max="4" width="4.88671875" style="5" customWidth="1"/>
    <col min="5" max="5" width="6.109375" style="5" customWidth="1"/>
    <col min="6" max="8" width="5.5546875" style="5" customWidth="1"/>
    <col min="9" max="9" width="4.88671875" style="5" customWidth="1"/>
    <col min="10" max="10" width="4.5546875" style="5" customWidth="1"/>
    <col min="11" max="12" width="5.6640625" style="5" customWidth="1"/>
    <col min="13" max="14" width="5.5546875" style="5" customWidth="1"/>
    <col min="15" max="15" width="5.88671875" style="5" customWidth="1"/>
    <col min="16" max="16" width="5.5546875" style="5" customWidth="1"/>
    <col min="17" max="17" width="5.44140625" style="5" customWidth="1"/>
    <col min="18" max="19" width="4.88671875" style="5" customWidth="1"/>
    <col min="20" max="20" width="4.5546875" style="5" customWidth="1"/>
    <col min="21" max="21" width="5.33203125" style="5" customWidth="1"/>
    <col min="22" max="22" width="4.88671875" style="5" customWidth="1"/>
    <col min="23" max="23" width="5.88671875" style="5" customWidth="1"/>
    <col min="24" max="24" width="5.44140625" style="5" customWidth="1"/>
    <col min="25" max="25" width="5" style="5" bestFit="1" customWidth="1"/>
    <col min="26" max="26" width="5.6640625" style="5" customWidth="1"/>
    <col min="27" max="27" width="5.33203125" style="5" customWidth="1"/>
    <col min="28" max="28" width="5.6640625" style="5" customWidth="1"/>
    <col min="29" max="29" width="5.44140625" style="5" customWidth="1"/>
    <col min="30" max="30" width="5" style="5" bestFit="1" customWidth="1"/>
    <col min="31" max="31" width="6" style="5" customWidth="1"/>
    <col min="32" max="32" width="5.6640625" style="5" customWidth="1"/>
    <col min="33" max="33" width="6.109375" style="5" customWidth="1"/>
    <col min="34" max="16384" width="4.33203125" style="10"/>
  </cols>
  <sheetData>
    <row r="1" spans="1:33" s="86" customFormat="1" ht="38.25" customHeight="1" x14ac:dyDescent="0.2">
      <c r="A1" s="85" t="s">
        <v>49</v>
      </c>
      <c r="B1" s="85" t="s">
        <v>50</v>
      </c>
      <c r="C1" s="15" t="s">
        <v>51</v>
      </c>
      <c r="D1" s="15" t="s">
        <v>60</v>
      </c>
      <c r="E1" s="15" t="s">
        <v>59</v>
      </c>
      <c r="F1" s="15" t="s">
        <v>52</v>
      </c>
      <c r="G1" s="15" t="s">
        <v>53</v>
      </c>
      <c r="H1" s="15" t="s">
        <v>54</v>
      </c>
      <c r="I1" s="15" t="s">
        <v>55</v>
      </c>
      <c r="J1" s="15" t="s">
        <v>56</v>
      </c>
      <c r="K1" s="15" t="s">
        <v>140</v>
      </c>
      <c r="L1" s="15" t="s">
        <v>57</v>
      </c>
      <c r="M1" s="15" t="s">
        <v>58</v>
      </c>
      <c r="N1" s="15" t="s">
        <v>61</v>
      </c>
      <c r="O1" s="15" t="s">
        <v>38</v>
      </c>
      <c r="P1" s="15" t="s">
        <v>62</v>
      </c>
      <c r="Q1" s="15" t="s">
        <v>63</v>
      </c>
      <c r="R1" s="15" t="s">
        <v>64</v>
      </c>
      <c r="S1" s="15" t="s">
        <v>65</v>
      </c>
      <c r="T1" s="15" t="s">
        <v>66</v>
      </c>
      <c r="U1" s="15" t="s">
        <v>67</v>
      </c>
      <c r="V1" s="15" t="s">
        <v>68</v>
      </c>
      <c r="W1" s="15" t="s">
        <v>69</v>
      </c>
      <c r="X1" s="15" t="s">
        <v>79</v>
      </c>
      <c r="Y1" s="15" t="s">
        <v>70</v>
      </c>
      <c r="Z1" s="15" t="s">
        <v>71</v>
      </c>
      <c r="AA1" s="15" t="s">
        <v>72</v>
      </c>
      <c r="AB1" s="15" t="s">
        <v>73</v>
      </c>
      <c r="AC1" s="15" t="s">
        <v>74</v>
      </c>
      <c r="AD1" s="15" t="s">
        <v>75</v>
      </c>
      <c r="AE1" s="15" t="s">
        <v>76</v>
      </c>
      <c r="AF1" s="15" t="s">
        <v>77</v>
      </c>
      <c r="AG1" s="15" t="s">
        <v>78</v>
      </c>
    </row>
    <row r="2" spans="1:33" s="87" customFormat="1" ht="10.5" customHeight="1" x14ac:dyDescent="0.25">
      <c r="A2" s="131" t="s">
        <v>27</v>
      </c>
      <c r="B2" s="132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</row>
    <row r="3" spans="1:33" ht="10.5" customHeight="1" x14ac:dyDescent="0.2">
      <c r="A3" s="10">
        <v>185</v>
      </c>
      <c r="B3" s="10" t="s">
        <v>121</v>
      </c>
      <c r="C3" s="10">
        <v>130</v>
      </c>
      <c r="D3" s="5">
        <v>73.8</v>
      </c>
      <c r="U3" s="5">
        <v>12.9</v>
      </c>
      <c r="AD3" s="5">
        <v>3</v>
      </c>
      <c r="AG3" s="5">
        <v>0.1</v>
      </c>
    </row>
    <row r="4" spans="1:33" ht="10.5" customHeight="1" x14ac:dyDescent="0.2">
      <c r="B4" s="5" t="s">
        <v>143</v>
      </c>
      <c r="C4" s="5">
        <v>60</v>
      </c>
      <c r="D4" s="5">
        <v>12</v>
      </c>
      <c r="K4" s="5">
        <v>30</v>
      </c>
      <c r="L4" s="5">
        <v>5</v>
      </c>
      <c r="N4" s="5">
        <v>11</v>
      </c>
      <c r="W4" s="5">
        <v>9</v>
      </c>
      <c r="Y4" s="5">
        <v>3</v>
      </c>
      <c r="AG4" s="5">
        <v>0.3</v>
      </c>
    </row>
    <row r="5" spans="1:33" s="88" customFormat="1" ht="12" customHeight="1" x14ac:dyDescent="0.3">
      <c r="A5" s="5"/>
      <c r="B5" s="5" t="s">
        <v>141</v>
      </c>
      <c r="C5" s="5">
        <v>40</v>
      </c>
      <c r="D5" s="5"/>
      <c r="E5" s="5"/>
      <c r="F5" s="5"/>
      <c r="G5" s="5"/>
      <c r="H5" s="5"/>
      <c r="I5" s="5"/>
      <c r="J5" s="5"/>
      <c r="K5" s="5"/>
      <c r="L5" s="5">
        <v>40</v>
      </c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>
        <v>4.0000000000000001E-3</v>
      </c>
    </row>
    <row r="6" spans="1:33" s="88" customFormat="1" ht="12" customHeight="1" x14ac:dyDescent="0.3">
      <c r="A6" s="5">
        <v>395</v>
      </c>
      <c r="B6" s="5" t="s">
        <v>142</v>
      </c>
      <c r="C6" s="5">
        <v>180</v>
      </c>
      <c r="D6" s="5">
        <v>90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>
        <v>2.5</v>
      </c>
      <c r="AD6" s="5">
        <v>5</v>
      </c>
      <c r="AE6" s="5"/>
      <c r="AF6" s="5"/>
      <c r="AG6" s="5"/>
    </row>
    <row r="7" spans="1:33" ht="10.5" customHeight="1" x14ac:dyDescent="0.2">
      <c r="B7" s="5" t="s">
        <v>32</v>
      </c>
      <c r="C7" s="5">
        <v>20</v>
      </c>
      <c r="T7" s="5">
        <v>20</v>
      </c>
    </row>
    <row r="9" spans="1:33" s="88" customFormat="1" ht="11.25" customHeight="1" x14ac:dyDescent="0.3">
      <c r="A9" s="5">
        <v>401</v>
      </c>
      <c r="B9" s="5" t="s">
        <v>144</v>
      </c>
      <c r="C9" s="5">
        <v>180</v>
      </c>
      <c r="D9" s="5">
        <v>180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</row>
    <row r="10" spans="1:33" s="88" customFormat="1" ht="10.5" customHeight="1" x14ac:dyDescent="0.3">
      <c r="A10" s="5"/>
      <c r="B10" s="5" t="s">
        <v>145</v>
      </c>
      <c r="C10" s="5">
        <v>20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>
        <v>20</v>
      </c>
      <c r="AA10" s="5"/>
      <c r="AB10" s="5"/>
      <c r="AC10" s="5"/>
      <c r="AD10" s="5"/>
      <c r="AE10" s="5"/>
      <c r="AF10" s="5"/>
      <c r="AG10" s="5"/>
    </row>
    <row r="13" spans="1:33" ht="10.5" customHeight="1" x14ac:dyDescent="0.2">
      <c r="B13" s="5" t="s">
        <v>125</v>
      </c>
      <c r="C13" s="5">
        <v>40</v>
      </c>
      <c r="N13" s="5">
        <v>40</v>
      </c>
    </row>
    <row r="14" spans="1:33" s="88" customFormat="1" ht="21.75" customHeight="1" x14ac:dyDescent="0.3">
      <c r="A14" s="5">
        <v>82</v>
      </c>
      <c r="B14" s="73" t="s">
        <v>147</v>
      </c>
      <c r="C14" s="5">
        <v>180</v>
      </c>
      <c r="D14" s="5"/>
      <c r="E14" s="5"/>
      <c r="F14" s="5"/>
      <c r="G14" s="5"/>
      <c r="H14" s="5"/>
      <c r="I14" s="5"/>
      <c r="J14" s="5"/>
      <c r="K14" s="5"/>
      <c r="L14" s="5">
        <v>2.4</v>
      </c>
      <c r="M14" s="5">
        <v>54</v>
      </c>
      <c r="N14" s="5">
        <v>14.4</v>
      </c>
      <c r="O14" s="5"/>
      <c r="P14" s="5"/>
      <c r="Q14" s="5"/>
      <c r="R14" s="5"/>
      <c r="S14" s="5"/>
      <c r="T14" s="5"/>
      <c r="U14" s="5"/>
      <c r="V14" s="5"/>
      <c r="W14" s="5">
        <v>8.5</v>
      </c>
      <c r="X14" s="5"/>
      <c r="Y14" s="5">
        <v>2.7</v>
      </c>
      <c r="Z14" s="5"/>
      <c r="AA14" s="5"/>
      <c r="AB14" s="5"/>
      <c r="AC14" s="5"/>
      <c r="AD14" s="5"/>
      <c r="AE14" s="5"/>
      <c r="AF14" s="5"/>
      <c r="AG14" s="5">
        <v>1</v>
      </c>
    </row>
    <row r="15" spans="1:33" s="88" customFormat="1" ht="12" customHeight="1" x14ac:dyDescent="0.3">
      <c r="A15" s="5">
        <v>276</v>
      </c>
      <c r="B15" s="5" t="s">
        <v>99</v>
      </c>
      <c r="C15" s="5">
        <v>180</v>
      </c>
      <c r="D15" s="5"/>
      <c r="E15" s="5"/>
      <c r="F15" s="5"/>
      <c r="G15" s="5"/>
      <c r="H15" s="5">
        <v>105.3</v>
      </c>
      <c r="I15" s="5"/>
      <c r="J15" s="5"/>
      <c r="K15" s="5"/>
      <c r="L15" s="5"/>
      <c r="M15" s="5">
        <v>107.1</v>
      </c>
      <c r="N15" s="5">
        <v>12.24</v>
      </c>
      <c r="O15" s="5"/>
      <c r="P15" s="5"/>
      <c r="Q15" s="5"/>
      <c r="R15" s="5"/>
      <c r="S15" s="5"/>
      <c r="T15" s="5"/>
      <c r="U15" s="5"/>
      <c r="V15" s="5"/>
      <c r="W15" s="5"/>
      <c r="X15" s="5">
        <v>4.9000000000000004</v>
      </c>
      <c r="Y15" s="5"/>
      <c r="Z15" s="5"/>
      <c r="AA15" s="5"/>
      <c r="AB15" s="5"/>
      <c r="AC15" s="5"/>
      <c r="AD15" s="5"/>
      <c r="AE15" s="5"/>
      <c r="AF15" s="5"/>
      <c r="AG15" s="5">
        <v>1</v>
      </c>
    </row>
    <row r="16" spans="1:33" s="88" customFormat="1" ht="11.25" customHeight="1" x14ac:dyDescent="0.3">
      <c r="A16" s="5">
        <v>379</v>
      </c>
      <c r="B16" s="5" t="s">
        <v>133</v>
      </c>
      <c r="C16" s="5">
        <v>180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>
        <v>18</v>
      </c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>
        <v>7</v>
      </c>
      <c r="AE16" s="5"/>
      <c r="AF16" s="5">
        <v>6</v>
      </c>
      <c r="AG16" s="5"/>
    </row>
    <row r="17" spans="1:33" s="88" customFormat="1" ht="12.75" customHeight="1" x14ac:dyDescent="0.3">
      <c r="A17" s="5"/>
      <c r="B17" s="5" t="s">
        <v>146</v>
      </c>
      <c r="C17" s="5">
        <v>40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>
        <v>40</v>
      </c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</row>
    <row r="18" spans="1:33" ht="10.5" customHeight="1" x14ac:dyDescent="0.2">
      <c r="C18" s="72"/>
    </row>
    <row r="21" spans="1:33" ht="10.5" customHeight="1" x14ac:dyDescent="0.2">
      <c r="A21" s="5" t="s">
        <v>47</v>
      </c>
      <c r="B21" s="5" t="s">
        <v>135</v>
      </c>
      <c r="C21" s="5">
        <v>40</v>
      </c>
      <c r="N21" s="5">
        <v>40</v>
      </c>
    </row>
    <row r="22" spans="1:33" ht="10.5" customHeight="1" x14ac:dyDescent="0.2">
      <c r="A22" s="5">
        <v>252</v>
      </c>
      <c r="B22" s="5" t="s">
        <v>110</v>
      </c>
      <c r="C22" s="5">
        <v>60</v>
      </c>
      <c r="F22" s="5">
        <v>15</v>
      </c>
      <c r="J22" s="5">
        <v>36.700000000000003</v>
      </c>
      <c r="L22" s="5">
        <v>5</v>
      </c>
      <c r="W22" s="5">
        <v>1.4</v>
      </c>
      <c r="X22" s="5">
        <v>1.5</v>
      </c>
      <c r="Y22" s="5">
        <v>2.2999999999999998</v>
      </c>
      <c r="AG22" s="5">
        <v>0.5</v>
      </c>
    </row>
    <row r="23" spans="1:33" s="88" customFormat="1" ht="12" customHeight="1" x14ac:dyDescent="0.3">
      <c r="A23" s="10">
        <v>54</v>
      </c>
      <c r="B23" s="5" t="s">
        <v>148</v>
      </c>
      <c r="C23" s="5">
        <v>120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>
        <v>129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>
        <v>6</v>
      </c>
      <c r="Z23" s="5"/>
      <c r="AA23" s="5"/>
      <c r="AB23" s="5"/>
      <c r="AC23" s="5"/>
      <c r="AD23" s="5">
        <v>1.4</v>
      </c>
      <c r="AE23" s="5"/>
      <c r="AF23" s="5"/>
      <c r="AG23" s="5">
        <v>0.27</v>
      </c>
    </row>
    <row r="24" spans="1:33" s="88" customFormat="1" ht="13.5" customHeight="1" x14ac:dyDescent="0.3">
      <c r="A24" s="5"/>
      <c r="B24" s="5" t="s">
        <v>32</v>
      </c>
      <c r="C24" s="5">
        <v>30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>
        <v>30</v>
      </c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</row>
    <row r="25" spans="1:33" s="88" customFormat="1" ht="12" customHeight="1" x14ac:dyDescent="0.3">
      <c r="A25" s="5">
        <v>399</v>
      </c>
      <c r="B25" s="5" t="s">
        <v>129</v>
      </c>
      <c r="C25" s="5">
        <v>180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>
        <v>180</v>
      </c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</row>
    <row r="26" spans="1:33" s="88" customFormat="1" ht="13.5" customHeight="1" x14ac:dyDescent="0.3">
      <c r="A26" s="5">
        <v>496</v>
      </c>
      <c r="B26" s="5" t="s">
        <v>33</v>
      </c>
      <c r="C26" s="5">
        <v>37</v>
      </c>
      <c r="D26" s="5">
        <v>3.7</v>
      </c>
      <c r="E26" s="5"/>
      <c r="F26" s="5"/>
      <c r="G26" s="5"/>
      <c r="H26" s="5"/>
      <c r="I26" s="5"/>
      <c r="J26" s="5"/>
      <c r="K26" s="5"/>
      <c r="L26" s="5">
        <v>2.5</v>
      </c>
      <c r="M26" s="5"/>
      <c r="N26" s="5"/>
      <c r="O26" s="5"/>
      <c r="P26" s="5"/>
      <c r="Q26" s="5"/>
      <c r="R26" s="5"/>
      <c r="S26" s="5"/>
      <c r="T26" s="5"/>
      <c r="U26" s="5"/>
      <c r="V26" s="5"/>
      <c r="W26" s="5">
        <v>21.7</v>
      </c>
      <c r="X26" s="5">
        <v>4.9000000000000004</v>
      </c>
      <c r="Y26" s="5"/>
      <c r="Z26" s="5"/>
      <c r="AA26" s="5"/>
      <c r="AB26" s="5"/>
      <c r="AC26" s="5"/>
      <c r="AD26" s="5">
        <v>10.4</v>
      </c>
      <c r="AE26" s="5"/>
      <c r="AF26" s="5"/>
      <c r="AG26" s="5">
        <v>0.5</v>
      </c>
    </row>
    <row r="27" spans="1:33" ht="10.5" customHeight="1" x14ac:dyDescent="0.2">
      <c r="C27" s="72"/>
    </row>
    <row r="28" spans="1:33" ht="10.5" customHeight="1" x14ac:dyDescent="0.2">
      <c r="C28" s="89"/>
    </row>
    <row r="29" spans="1:33" s="90" customFormat="1" ht="10.5" customHeight="1" x14ac:dyDescent="0.2">
      <c r="A29" s="7"/>
      <c r="B29" s="9" t="s">
        <v>84</v>
      </c>
      <c r="C29" s="7"/>
      <c r="D29" s="7">
        <f t="shared" ref="D29:AG29" si="0">SUM(D3:D28)</f>
        <v>359.5</v>
      </c>
      <c r="E29" s="7">
        <f t="shared" si="0"/>
        <v>0</v>
      </c>
      <c r="F29" s="7">
        <f t="shared" si="0"/>
        <v>15</v>
      </c>
      <c r="G29" s="7">
        <f t="shared" si="0"/>
        <v>0</v>
      </c>
      <c r="H29" s="7">
        <f t="shared" si="0"/>
        <v>105.3</v>
      </c>
      <c r="I29" s="7">
        <f t="shared" si="0"/>
        <v>0</v>
      </c>
      <c r="J29" s="7">
        <f t="shared" si="0"/>
        <v>36.700000000000003</v>
      </c>
      <c r="K29" s="7">
        <f t="shared" si="0"/>
        <v>30</v>
      </c>
      <c r="L29" s="7">
        <f t="shared" si="0"/>
        <v>54.9</v>
      </c>
      <c r="M29" s="7">
        <f t="shared" si="0"/>
        <v>161.1</v>
      </c>
      <c r="N29" s="7">
        <f t="shared" si="0"/>
        <v>246.64</v>
      </c>
      <c r="O29" s="7">
        <f t="shared" si="0"/>
        <v>0</v>
      </c>
      <c r="P29" s="7">
        <f t="shared" si="0"/>
        <v>18</v>
      </c>
      <c r="Q29" s="7">
        <f t="shared" si="0"/>
        <v>180</v>
      </c>
      <c r="R29" s="7">
        <f t="shared" si="0"/>
        <v>0</v>
      </c>
      <c r="S29" s="7">
        <f t="shared" si="0"/>
        <v>40</v>
      </c>
      <c r="T29" s="7">
        <f t="shared" si="0"/>
        <v>50</v>
      </c>
      <c r="U29" s="7">
        <f t="shared" si="0"/>
        <v>12.9</v>
      </c>
      <c r="V29" s="7">
        <f t="shared" si="0"/>
        <v>0</v>
      </c>
      <c r="W29" s="7">
        <f t="shared" si="0"/>
        <v>40.599999999999994</v>
      </c>
      <c r="X29" s="7">
        <f t="shared" si="0"/>
        <v>11.3</v>
      </c>
      <c r="Y29" s="7">
        <f t="shared" si="0"/>
        <v>14</v>
      </c>
      <c r="Z29" s="7">
        <f t="shared" si="0"/>
        <v>20</v>
      </c>
      <c r="AA29" s="7">
        <f t="shared" si="0"/>
        <v>0</v>
      </c>
      <c r="AB29" s="7">
        <f t="shared" si="0"/>
        <v>0</v>
      </c>
      <c r="AC29" s="7">
        <f t="shared" si="0"/>
        <v>2.5</v>
      </c>
      <c r="AD29" s="7">
        <f t="shared" si="0"/>
        <v>26.799999999999997</v>
      </c>
      <c r="AE29" s="7">
        <f t="shared" si="0"/>
        <v>0</v>
      </c>
      <c r="AF29" s="7">
        <f t="shared" si="0"/>
        <v>6</v>
      </c>
      <c r="AG29" s="7">
        <f t="shared" si="0"/>
        <v>3.6739999999999999</v>
      </c>
    </row>
    <row r="31" spans="1:33" s="87" customFormat="1" ht="10.5" customHeight="1" x14ac:dyDescent="0.25">
      <c r="A31" s="131" t="s">
        <v>37</v>
      </c>
      <c r="B31" s="132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</row>
    <row r="32" spans="1:33" ht="10.5" customHeight="1" x14ac:dyDescent="0.2">
      <c r="A32" s="10">
        <v>185</v>
      </c>
      <c r="B32" s="5" t="s">
        <v>122</v>
      </c>
      <c r="C32" s="10">
        <v>130</v>
      </c>
      <c r="D32" s="79">
        <v>73.8</v>
      </c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>
        <v>16.7</v>
      </c>
      <c r="V32" s="79"/>
      <c r="W32" s="79"/>
      <c r="X32" s="79"/>
      <c r="Y32" s="79"/>
      <c r="Z32" s="79"/>
      <c r="AA32" s="79"/>
      <c r="AB32" s="79"/>
      <c r="AC32" s="79"/>
      <c r="AD32" s="79">
        <v>4</v>
      </c>
      <c r="AE32" s="79"/>
      <c r="AF32" s="79"/>
      <c r="AG32" s="79"/>
    </row>
    <row r="33" spans="1:33" s="91" customFormat="1" ht="10.5" customHeight="1" x14ac:dyDescent="0.2">
      <c r="A33" s="91">
        <v>224</v>
      </c>
      <c r="B33" s="5" t="s">
        <v>123</v>
      </c>
      <c r="C33" s="5">
        <v>60</v>
      </c>
      <c r="D33" s="5">
        <v>21</v>
      </c>
      <c r="E33" s="5"/>
      <c r="F33" s="5"/>
      <c r="G33" s="5"/>
      <c r="H33" s="5">
        <v>21</v>
      </c>
      <c r="I33" s="5"/>
      <c r="J33" s="5"/>
      <c r="K33" s="5"/>
      <c r="L33" s="5">
        <v>32</v>
      </c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>
        <v>3</v>
      </c>
      <c r="Y33" s="5"/>
      <c r="Z33" s="5"/>
      <c r="AA33" s="5"/>
      <c r="AB33" s="5"/>
      <c r="AC33" s="5"/>
      <c r="AD33" s="5"/>
      <c r="AE33" s="5"/>
      <c r="AF33" s="5"/>
      <c r="AG33" s="5">
        <v>0.2</v>
      </c>
    </row>
    <row r="34" spans="1:33" s="88" customFormat="1" ht="11.25" customHeight="1" x14ac:dyDescent="0.3">
      <c r="A34" s="14">
        <v>394</v>
      </c>
      <c r="B34" s="5" t="s">
        <v>149</v>
      </c>
      <c r="C34" s="5">
        <v>150</v>
      </c>
      <c r="D34" s="5">
        <v>75</v>
      </c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>
        <v>0.7</v>
      </c>
      <c r="AB34" s="5"/>
      <c r="AC34" s="5"/>
      <c r="AD34" s="5">
        <v>5</v>
      </c>
      <c r="AE34" s="5"/>
      <c r="AF34" s="5"/>
      <c r="AG34" s="5"/>
    </row>
    <row r="35" spans="1:33" s="88" customFormat="1" ht="11.25" customHeight="1" x14ac:dyDescent="0.3">
      <c r="A35" s="5"/>
      <c r="B35" s="5" t="s">
        <v>146</v>
      </c>
      <c r="C35" s="5">
        <v>20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>
        <v>20</v>
      </c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</row>
    <row r="36" spans="1:33" s="88" customFormat="1" ht="11.25" customHeight="1" x14ac:dyDescent="0.3">
      <c r="A36" s="5"/>
      <c r="B36" s="5" t="s">
        <v>32</v>
      </c>
      <c r="C36" s="5">
        <v>30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>
        <v>30</v>
      </c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</row>
    <row r="38" spans="1:33" ht="10.5" customHeight="1" x14ac:dyDescent="0.2">
      <c r="C38" s="72"/>
    </row>
    <row r="40" spans="1:33" ht="10.5" customHeight="1" x14ac:dyDescent="0.2">
      <c r="A40" s="5">
        <v>368</v>
      </c>
      <c r="B40" s="5" t="s">
        <v>38</v>
      </c>
      <c r="C40" s="5">
        <v>95</v>
      </c>
      <c r="O40" s="5">
        <v>95</v>
      </c>
    </row>
    <row r="42" spans="1:33" s="88" customFormat="1" ht="11.25" customHeight="1" x14ac:dyDescent="0.3">
      <c r="A42" s="5">
        <v>14</v>
      </c>
      <c r="B42" s="5" t="s">
        <v>150</v>
      </c>
      <c r="C42" s="5">
        <v>40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>
        <v>38.479999999999997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>
        <v>2.8</v>
      </c>
      <c r="Z42" s="5"/>
      <c r="AA42" s="5"/>
      <c r="AB42" s="5"/>
      <c r="AC42" s="5"/>
      <c r="AD42" s="5"/>
      <c r="AE42" s="5"/>
      <c r="AF42" s="5"/>
      <c r="AG42" s="5">
        <v>0.08</v>
      </c>
    </row>
    <row r="43" spans="1:33" s="88" customFormat="1" ht="12" customHeight="1" x14ac:dyDescent="0.3">
      <c r="A43" s="5">
        <v>76</v>
      </c>
      <c r="B43" s="5" t="s">
        <v>41</v>
      </c>
      <c r="C43" s="5">
        <v>180</v>
      </c>
      <c r="D43" s="5"/>
      <c r="E43" s="5"/>
      <c r="F43" s="5"/>
      <c r="G43" s="5"/>
      <c r="H43" s="5"/>
      <c r="I43" s="5"/>
      <c r="J43" s="5"/>
      <c r="K43" s="5"/>
      <c r="L43" s="5"/>
      <c r="M43" s="5">
        <v>54</v>
      </c>
      <c r="N43" s="5">
        <v>21.6</v>
      </c>
      <c r="O43" s="5"/>
      <c r="P43" s="5"/>
      <c r="Q43" s="5"/>
      <c r="R43" s="5"/>
      <c r="S43" s="5"/>
      <c r="T43" s="5"/>
      <c r="U43" s="5">
        <v>5</v>
      </c>
      <c r="V43" s="5"/>
      <c r="W43" s="5"/>
      <c r="X43" s="5"/>
      <c r="Y43" s="5">
        <v>3.6</v>
      </c>
      <c r="Z43" s="5"/>
      <c r="AA43" s="5"/>
      <c r="AB43" s="5"/>
      <c r="AC43" s="5"/>
      <c r="AD43" s="5"/>
      <c r="AE43" s="5"/>
      <c r="AF43" s="5"/>
      <c r="AG43" s="5">
        <v>1</v>
      </c>
    </row>
    <row r="44" spans="1:33" s="88" customFormat="1" ht="12.75" customHeight="1" x14ac:dyDescent="0.3">
      <c r="A44" s="5">
        <v>301</v>
      </c>
      <c r="B44" s="5" t="s">
        <v>109</v>
      </c>
      <c r="C44" s="5">
        <v>130</v>
      </c>
      <c r="D44" s="5"/>
      <c r="E44" s="5"/>
      <c r="F44" s="5">
        <v>8.8000000000000007</v>
      </c>
      <c r="G44" s="5"/>
      <c r="H44" s="5"/>
      <c r="I44" s="5">
        <v>62</v>
      </c>
      <c r="J44" s="5"/>
      <c r="K44" s="5"/>
      <c r="L44" s="5"/>
      <c r="M44" s="5">
        <v>65.53</v>
      </c>
      <c r="N44" s="5">
        <v>48</v>
      </c>
      <c r="O44" s="5"/>
      <c r="P44" s="5"/>
      <c r="Q44" s="5"/>
      <c r="R44" s="5"/>
      <c r="S44" s="5"/>
      <c r="T44" s="5"/>
      <c r="U44" s="5"/>
      <c r="V44" s="5"/>
      <c r="W44" s="5">
        <v>2.6</v>
      </c>
      <c r="X44" s="5"/>
      <c r="Y44" s="5">
        <v>2.1</v>
      </c>
      <c r="Z44" s="5"/>
      <c r="AA44" s="5"/>
      <c r="AB44" s="5"/>
      <c r="AC44" s="5"/>
      <c r="AD44" s="5"/>
      <c r="AE44" s="5"/>
      <c r="AF44" s="5"/>
      <c r="AG44" s="5">
        <v>0.8</v>
      </c>
    </row>
    <row r="45" spans="1:33" s="88" customFormat="1" ht="12.75" customHeight="1" x14ac:dyDescent="0.3">
      <c r="A45" s="5">
        <v>373</v>
      </c>
      <c r="B45" s="5" t="s">
        <v>137</v>
      </c>
      <c r="C45" s="5">
        <v>150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>
        <v>30</v>
      </c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>
        <v>5</v>
      </c>
      <c r="AE45" s="5"/>
      <c r="AF45" s="5"/>
      <c r="AG45" s="5"/>
    </row>
    <row r="46" spans="1:33" s="88" customFormat="1" ht="12.75" customHeight="1" x14ac:dyDescent="0.3">
      <c r="A46" s="5"/>
      <c r="B46" s="5" t="s">
        <v>32</v>
      </c>
      <c r="C46" s="5">
        <v>30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>
        <v>30</v>
      </c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</row>
    <row r="47" spans="1:33" s="88" customFormat="1" ht="11.25" customHeight="1" x14ac:dyDescent="0.3">
      <c r="A47" s="5"/>
      <c r="B47" s="5" t="s">
        <v>146</v>
      </c>
      <c r="C47" s="5">
        <v>20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>
        <v>20</v>
      </c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</row>
    <row r="48" spans="1:33" ht="10.199999999999999" x14ac:dyDescent="0.2">
      <c r="C48" s="72"/>
    </row>
    <row r="49" spans="1:33" s="88" customFormat="1" ht="13.5" customHeight="1" x14ac:dyDescent="0.3">
      <c r="A49" s="5">
        <v>38</v>
      </c>
      <c r="B49" s="5" t="s">
        <v>128</v>
      </c>
      <c r="C49" s="5">
        <v>40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>
        <v>30</v>
      </c>
      <c r="O49" s="5">
        <v>10</v>
      </c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>
        <v>0.5</v>
      </c>
      <c r="AE49" s="5"/>
      <c r="AF49" s="5"/>
      <c r="AG49" s="5"/>
    </row>
    <row r="50" spans="1:33" s="88" customFormat="1" ht="12.75" customHeight="1" x14ac:dyDescent="0.3">
      <c r="A50" s="5">
        <v>236</v>
      </c>
      <c r="B50" s="5" t="s">
        <v>151</v>
      </c>
      <c r="C50" s="5">
        <v>130</v>
      </c>
      <c r="D50" s="5"/>
      <c r="E50" s="5">
        <v>83.4</v>
      </c>
      <c r="F50" s="5">
        <v>3.5</v>
      </c>
      <c r="G50" s="5"/>
      <c r="H50" s="5"/>
      <c r="I50" s="5"/>
      <c r="J50" s="5"/>
      <c r="K50" s="5"/>
      <c r="L50" s="5">
        <v>5.2</v>
      </c>
      <c r="M50" s="5"/>
      <c r="N50" s="5"/>
      <c r="O50" s="5"/>
      <c r="P50" s="5"/>
      <c r="Q50" s="5"/>
      <c r="R50" s="5"/>
      <c r="S50" s="5">
        <v>5.8</v>
      </c>
      <c r="T50" s="5"/>
      <c r="U50" s="5">
        <v>15.6</v>
      </c>
      <c r="V50" s="5"/>
      <c r="W50" s="5"/>
      <c r="X50" s="5">
        <v>3.7</v>
      </c>
      <c r="Y50" s="5"/>
      <c r="Z50" s="5"/>
      <c r="AA50" s="5"/>
      <c r="AB50" s="5"/>
      <c r="AC50" s="5"/>
      <c r="AD50" s="5">
        <v>4.3</v>
      </c>
      <c r="AE50" s="5"/>
      <c r="AF50" s="5"/>
      <c r="AG50" s="5">
        <v>6.9000000000000006E-2</v>
      </c>
    </row>
    <row r="51" spans="1:33" s="88" customFormat="1" ht="11.25" customHeight="1" x14ac:dyDescent="0.3">
      <c r="A51" s="5">
        <v>359</v>
      </c>
      <c r="B51" s="5" t="s">
        <v>136</v>
      </c>
      <c r="C51" s="5">
        <v>30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>
        <v>13.3</v>
      </c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>
        <v>5</v>
      </c>
      <c r="AE51" s="5"/>
      <c r="AF51" s="5"/>
      <c r="AG51" s="5"/>
    </row>
    <row r="52" spans="1:33" s="88" customFormat="1" ht="12" customHeight="1" x14ac:dyDescent="0.3">
      <c r="A52" s="5">
        <v>492</v>
      </c>
      <c r="B52" s="5" t="s">
        <v>152</v>
      </c>
      <c r="C52" s="74">
        <v>30</v>
      </c>
      <c r="D52" s="5"/>
      <c r="E52" s="5"/>
      <c r="F52" s="5"/>
      <c r="G52" s="5"/>
      <c r="H52" s="5"/>
      <c r="I52" s="5"/>
      <c r="J52" s="5"/>
      <c r="K52" s="5"/>
      <c r="L52" s="5">
        <v>5</v>
      </c>
      <c r="M52" s="5"/>
      <c r="N52" s="5"/>
      <c r="O52" s="5"/>
      <c r="P52" s="5">
        <v>5</v>
      </c>
      <c r="Q52" s="5"/>
      <c r="R52" s="5"/>
      <c r="S52" s="5"/>
      <c r="T52" s="5"/>
      <c r="U52" s="5"/>
      <c r="V52" s="5"/>
      <c r="W52" s="5">
        <v>20</v>
      </c>
      <c r="X52" s="5">
        <v>4</v>
      </c>
      <c r="Y52" s="5">
        <v>0.15</v>
      </c>
      <c r="Z52" s="5"/>
      <c r="AA52" s="5"/>
      <c r="AB52" s="5"/>
      <c r="AC52" s="5"/>
      <c r="AD52" s="5">
        <v>10</v>
      </c>
      <c r="AE52" s="5"/>
      <c r="AF52" s="5"/>
      <c r="AG52" s="5">
        <v>0.06</v>
      </c>
    </row>
    <row r="53" spans="1:33" s="88" customFormat="1" ht="12.75" customHeight="1" x14ac:dyDescent="0.3">
      <c r="A53" s="5">
        <v>400</v>
      </c>
      <c r="B53" s="5" t="s">
        <v>153</v>
      </c>
      <c r="C53" s="5">
        <v>180</v>
      </c>
      <c r="D53" s="5">
        <v>180</v>
      </c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</row>
    <row r="55" spans="1:33" ht="10.5" customHeight="1" x14ac:dyDescent="0.2">
      <c r="C55" s="72"/>
    </row>
    <row r="56" spans="1:33" s="90" customFormat="1" ht="10.5" customHeight="1" x14ac:dyDescent="0.2">
      <c r="A56" s="7"/>
      <c r="B56" s="8" t="s">
        <v>84</v>
      </c>
      <c r="C56" s="7"/>
      <c r="D56" s="7">
        <f t="shared" ref="D56:AG56" si="1">SUM(D32:D53)</f>
        <v>349.8</v>
      </c>
      <c r="E56" s="7">
        <f t="shared" si="1"/>
        <v>83.4</v>
      </c>
      <c r="F56" s="7">
        <f t="shared" si="1"/>
        <v>12.3</v>
      </c>
      <c r="G56" s="7">
        <f t="shared" si="1"/>
        <v>0</v>
      </c>
      <c r="H56" s="7">
        <f t="shared" si="1"/>
        <v>21</v>
      </c>
      <c r="I56" s="7">
        <f t="shared" si="1"/>
        <v>62</v>
      </c>
      <c r="J56" s="7">
        <f t="shared" si="1"/>
        <v>0</v>
      </c>
      <c r="K56" s="7">
        <f t="shared" si="1"/>
        <v>0</v>
      </c>
      <c r="L56" s="7">
        <f t="shared" si="1"/>
        <v>42.2</v>
      </c>
      <c r="M56" s="7">
        <f t="shared" si="1"/>
        <v>119.53</v>
      </c>
      <c r="N56" s="7">
        <f t="shared" si="1"/>
        <v>138.07999999999998</v>
      </c>
      <c r="O56" s="7">
        <f t="shared" si="1"/>
        <v>135</v>
      </c>
      <c r="P56" s="7">
        <f t="shared" si="1"/>
        <v>18.3</v>
      </c>
      <c r="Q56" s="7">
        <f t="shared" si="1"/>
        <v>0</v>
      </c>
      <c r="R56" s="7">
        <f t="shared" si="1"/>
        <v>0</v>
      </c>
      <c r="S56" s="7">
        <f t="shared" si="1"/>
        <v>45.8</v>
      </c>
      <c r="T56" s="7">
        <f t="shared" si="1"/>
        <v>60</v>
      </c>
      <c r="U56" s="7">
        <f t="shared" si="1"/>
        <v>37.299999999999997</v>
      </c>
      <c r="V56" s="7">
        <f t="shared" si="1"/>
        <v>0</v>
      </c>
      <c r="W56" s="7">
        <f t="shared" si="1"/>
        <v>22.6</v>
      </c>
      <c r="X56" s="7">
        <f t="shared" si="1"/>
        <v>10.7</v>
      </c>
      <c r="Y56" s="7">
        <f t="shared" si="1"/>
        <v>8.65</v>
      </c>
      <c r="Z56" s="7">
        <f t="shared" si="1"/>
        <v>0</v>
      </c>
      <c r="AA56" s="7">
        <f t="shared" si="1"/>
        <v>0.7</v>
      </c>
      <c r="AB56" s="7">
        <f t="shared" si="1"/>
        <v>0</v>
      </c>
      <c r="AC56" s="7">
        <f t="shared" si="1"/>
        <v>0</v>
      </c>
      <c r="AD56" s="7">
        <f t="shared" si="1"/>
        <v>33.799999999999997</v>
      </c>
      <c r="AE56" s="7">
        <f t="shared" si="1"/>
        <v>0</v>
      </c>
      <c r="AF56" s="7">
        <f t="shared" si="1"/>
        <v>0</v>
      </c>
      <c r="AG56" s="7">
        <f t="shared" si="1"/>
        <v>2.2090000000000001</v>
      </c>
    </row>
    <row r="58" spans="1:33" s="87" customFormat="1" ht="10.5" customHeight="1" x14ac:dyDescent="0.25">
      <c r="A58" s="131" t="s">
        <v>42</v>
      </c>
      <c r="B58" s="132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</row>
    <row r="60" spans="1:33" ht="10.5" customHeight="1" x14ac:dyDescent="0.2">
      <c r="A60" s="5">
        <v>185</v>
      </c>
      <c r="B60" s="5" t="s">
        <v>104</v>
      </c>
      <c r="C60" s="5">
        <v>130</v>
      </c>
      <c r="D60" s="5">
        <v>105.6</v>
      </c>
      <c r="U60" s="5">
        <v>16.7</v>
      </c>
      <c r="AD60" s="5">
        <v>4</v>
      </c>
      <c r="AG60" s="5">
        <v>0.1</v>
      </c>
    </row>
    <row r="61" spans="1:33" s="88" customFormat="1" ht="11.25" customHeight="1" x14ac:dyDescent="0.3">
      <c r="A61" s="5"/>
      <c r="B61" s="5" t="s">
        <v>154</v>
      </c>
      <c r="C61" s="5">
        <v>70</v>
      </c>
      <c r="D61" s="5">
        <v>39</v>
      </c>
      <c r="E61" s="5"/>
      <c r="F61" s="5"/>
      <c r="G61" s="5"/>
      <c r="H61" s="5"/>
      <c r="I61" s="5"/>
      <c r="J61" s="5"/>
      <c r="K61" s="5"/>
      <c r="L61" s="5">
        <v>32</v>
      </c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>
        <v>3.8</v>
      </c>
      <c r="Y61" s="5"/>
      <c r="Z61" s="5"/>
      <c r="AA61" s="5"/>
      <c r="AB61" s="5"/>
      <c r="AC61" s="5"/>
      <c r="AD61" s="5">
        <v>8.5</v>
      </c>
      <c r="AE61" s="5"/>
      <c r="AF61" s="5"/>
      <c r="AG61" s="5">
        <v>0.5</v>
      </c>
    </row>
    <row r="62" spans="1:33" s="88" customFormat="1" ht="12" customHeight="1" x14ac:dyDescent="0.3">
      <c r="A62" s="5">
        <v>394</v>
      </c>
      <c r="B62" s="5" t="s">
        <v>155</v>
      </c>
      <c r="C62" s="5">
        <v>180</v>
      </c>
      <c r="D62" s="5">
        <v>90</v>
      </c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>
        <v>0.84</v>
      </c>
      <c r="AB62" s="5"/>
      <c r="AC62" s="5"/>
      <c r="AD62" s="5">
        <v>5</v>
      </c>
      <c r="AE62" s="5"/>
      <c r="AF62" s="5"/>
      <c r="AG62" s="5"/>
    </row>
    <row r="63" spans="1:33" s="88" customFormat="1" ht="12.75" customHeight="1" x14ac:dyDescent="0.3">
      <c r="A63" s="5"/>
      <c r="B63" s="5" t="s">
        <v>146</v>
      </c>
      <c r="C63" s="5">
        <v>20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>
        <v>20</v>
      </c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</row>
    <row r="64" spans="1:33" ht="10.5" customHeight="1" x14ac:dyDescent="0.2">
      <c r="C64" s="72"/>
    </row>
    <row r="65" spans="1:33" s="88" customFormat="1" ht="11.25" customHeight="1" x14ac:dyDescent="0.3">
      <c r="A65" s="5">
        <v>401</v>
      </c>
      <c r="B65" s="5" t="s">
        <v>144</v>
      </c>
      <c r="C65" s="5">
        <v>180</v>
      </c>
      <c r="D65" s="5">
        <v>180</v>
      </c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</row>
    <row r="66" spans="1:33" s="88" customFormat="1" ht="12" customHeight="1" x14ac:dyDescent="0.3">
      <c r="A66" s="5"/>
      <c r="B66" s="5" t="s">
        <v>156</v>
      </c>
      <c r="C66" s="5">
        <v>20</v>
      </c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>
        <v>20</v>
      </c>
      <c r="AA66" s="5"/>
      <c r="AB66" s="5"/>
      <c r="AC66" s="5"/>
      <c r="AD66" s="5"/>
      <c r="AE66" s="5"/>
      <c r="AF66" s="5"/>
      <c r="AG66" s="5"/>
    </row>
    <row r="69" spans="1:33" s="88" customFormat="1" ht="12.75" customHeight="1" x14ac:dyDescent="0.3">
      <c r="A69" s="5">
        <v>67</v>
      </c>
      <c r="B69" s="5" t="s">
        <v>90</v>
      </c>
      <c r="C69" s="5">
        <v>180</v>
      </c>
      <c r="D69" s="5"/>
      <c r="E69" s="5"/>
      <c r="F69" s="5"/>
      <c r="G69" s="5"/>
      <c r="H69" s="5"/>
      <c r="I69" s="5"/>
      <c r="J69" s="5"/>
      <c r="K69" s="5"/>
      <c r="L69" s="5"/>
      <c r="M69" s="5">
        <v>21.6</v>
      </c>
      <c r="N69" s="5">
        <v>53.1</v>
      </c>
      <c r="O69" s="5"/>
      <c r="P69" s="5"/>
      <c r="Q69" s="5"/>
      <c r="R69" s="5"/>
      <c r="S69" s="5"/>
      <c r="T69" s="5"/>
      <c r="U69" s="5"/>
      <c r="V69" s="5"/>
      <c r="W69" s="5"/>
      <c r="X69" s="5"/>
      <c r="Y69" s="5">
        <v>3.6</v>
      </c>
      <c r="Z69" s="5"/>
      <c r="AA69" s="5"/>
      <c r="AB69" s="5"/>
      <c r="AC69" s="5"/>
      <c r="AD69" s="5"/>
      <c r="AE69" s="5"/>
      <c r="AF69" s="5"/>
      <c r="AG69" s="5">
        <v>1</v>
      </c>
    </row>
    <row r="70" spans="1:33" s="88" customFormat="1" ht="12.75" customHeight="1" x14ac:dyDescent="0.3">
      <c r="A70" s="5">
        <v>278</v>
      </c>
      <c r="B70" s="5" t="s">
        <v>107</v>
      </c>
      <c r="C70" s="5">
        <v>60</v>
      </c>
      <c r="D70" s="5"/>
      <c r="E70" s="5"/>
      <c r="F70" s="5">
        <v>15</v>
      </c>
      <c r="G70" s="5"/>
      <c r="H70" s="5">
        <v>37.5</v>
      </c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>
        <v>1.38</v>
      </c>
      <c r="X70" s="5">
        <v>1.54</v>
      </c>
      <c r="Y70" s="5"/>
      <c r="Z70" s="5"/>
      <c r="AA70" s="5"/>
      <c r="AB70" s="5"/>
      <c r="AC70" s="5"/>
      <c r="AD70" s="5"/>
      <c r="AE70" s="5"/>
      <c r="AF70" s="5"/>
      <c r="AG70" s="5">
        <v>0.5</v>
      </c>
    </row>
    <row r="71" spans="1:33" s="88" customFormat="1" ht="13.5" customHeight="1" x14ac:dyDescent="0.3">
      <c r="A71" s="5">
        <v>320</v>
      </c>
      <c r="B71" s="5" t="s">
        <v>188</v>
      </c>
      <c r="C71" s="5">
        <v>110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>
        <v>115.94</v>
      </c>
      <c r="O71" s="5"/>
      <c r="P71" s="5"/>
      <c r="Q71" s="5"/>
      <c r="R71" s="5"/>
      <c r="S71" s="5"/>
      <c r="T71" s="5"/>
      <c r="U71" s="5"/>
      <c r="V71" s="5"/>
      <c r="W71" s="5"/>
      <c r="X71" s="5">
        <v>3.85</v>
      </c>
      <c r="Y71" s="5"/>
      <c r="Z71" s="5"/>
      <c r="AA71" s="5"/>
      <c r="AB71" s="5"/>
      <c r="AC71" s="5"/>
      <c r="AD71" s="5"/>
      <c r="AE71" s="5"/>
      <c r="AF71" s="5"/>
      <c r="AG71" s="5">
        <v>0.26</v>
      </c>
    </row>
    <row r="72" spans="1:33" s="88" customFormat="1" ht="12.75" customHeight="1" x14ac:dyDescent="0.3">
      <c r="A72" s="5">
        <v>372</v>
      </c>
      <c r="B72" s="5" t="s">
        <v>137</v>
      </c>
      <c r="C72" s="5">
        <v>150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>
        <v>36</v>
      </c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>
        <v>5</v>
      </c>
      <c r="AE72" s="5"/>
      <c r="AF72" s="5"/>
      <c r="AG72" s="5"/>
    </row>
    <row r="73" spans="1:33" s="88" customFormat="1" ht="11.25" customHeight="1" x14ac:dyDescent="0.3">
      <c r="A73" s="5"/>
      <c r="B73" s="5" t="s">
        <v>146</v>
      </c>
      <c r="C73" s="5">
        <v>20</v>
      </c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>
        <v>20</v>
      </c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</row>
    <row r="74" spans="1:33" s="88" customFormat="1" ht="12" customHeight="1" x14ac:dyDescent="0.3">
      <c r="A74" s="5"/>
      <c r="B74" s="5" t="s">
        <v>32</v>
      </c>
      <c r="C74" s="5">
        <v>25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>
        <v>25</v>
      </c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</row>
    <row r="75" spans="1:33" s="88" customFormat="1" ht="14.4" x14ac:dyDescent="0.3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</row>
    <row r="76" spans="1:33" s="88" customFormat="1" ht="12" customHeight="1" x14ac:dyDescent="0.3">
      <c r="A76" s="5">
        <v>255</v>
      </c>
      <c r="B76" s="5" t="s">
        <v>115</v>
      </c>
      <c r="C76" s="5">
        <v>60</v>
      </c>
      <c r="D76" s="5">
        <v>15</v>
      </c>
      <c r="E76" s="5"/>
      <c r="F76" s="5"/>
      <c r="G76" s="5"/>
      <c r="H76" s="5"/>
      <c r="I76" s="5"/>
      <c r="J76" s="5">
        <v>45</v>
      </c>
      <c r="K76" s="5"/>
      <c r="L76" s="5">
        <v>4</v>
      </c>
      <c r="M76" s="5"/>
      <c r="N76" s="5"/>
      <c r="O76" s="5"/>
      <c r="P76" s="5"/>
      <c r="Q76" s="5"/>
      <c r="R76" s="5"/>
      <c r="S76" s="5"/>
      <c r="T76" s="5">
        <v>6.75</v>
      </c>
      <c r="U76" s="5"/>
      <c r="V76" s="5"/>
      <c r="W76" s="5">
        <v>1.23</v>
      </c>
      <c r="X76" s="5">
        <v>3.48</v>
      </c>
      <c r="Y76" s="5"/>
      <c r="Z76" s="5"/>
      <c r="AA76" s="5"/>
      <c r="AB76" s="5"/>
      <c r="AC76" s="5"/>
      <c r="AD76" s="5"/>
      <c r="AE76" s="5"/>
      <c r="AF76" s="5"/>
      <c r="AG76" s="5" t="s">
        <v>189</v>
      </c>
    </row>
    <row r="77" spans="1:33" s="88" customFormat="1" ht="11.25" customHeight="1" x14ac:dyDescent="0.3">
      <c r="A77" s="5">
        <v>319</v>
      </c>
      <c r="B77" s="5" t="s">
        <v>94</v>
      </c>
      <c r="C77" s="5">
        <v>120</v>
      </c>
      <c r="D77" s="5">
        <v>40</v>
      </c>
      <c r="E77" s="5"/>
      <c r="F77" s="5"/>
      <c r="G77" s="5"/>
      <c r="H77" s="5"/>
      <c r="I77" s="5"/>
      <c r="J77" s="5"/>
      <c r="K77" s="5"/>
      <c r="L77" s="5"/>
      <c r="M77" s="5">
        <v>90</v>
      </c>
      <c r="N77" s="5"/>
      <c r="O77" s="5"/>
      <c r="P77" s="5"/>
      <c r="Q77" s="5"/>
      <c r="R77" s="5"/>
      <c r="S77" s="5"/>
      <c r="T77" s="5"/>
      <c r="U77" s="5"/>
      <c r="V77" s="5"/>
      <c r="W77" s="5">
        <v>1.2</v>
      </c>
      <c r="X77" s="5">
        <v>2.4</v>
      </c>
      <c r="Y77" s="5"/>
      <c r="Z77" s="5"/>
      <c r="AA77" s="5"/>
      <c r="AB77" s="5"/>
      <c r="AC77" s="5"/>
      <c r="AD77" s="5"/>
      <c r="AE77" s="5"/>
      <c r="AF77" s="5"/>
      <c r="AG77" s="5">
        <v>0.46</v>
      </c>
    </row>
    <row r="78" spans="1:33" s="88" customFormat="1" ht="12" customHeight="1" x14ac:dyDescent="0.3">
      <c r="A78" s="5">
        <v>490</v>
      </c>
      <c r="B78" s="5" t="s">
        <v>95</v>
      </c>
      <c r="C78" s="5">
        <v>25</v>
      </c>
      <c r="D78" s="5">
        <v>1.02</v>
      </c>
      <c r="E78" s="5"/>
      <c r="F78" s="5"/>
      <c r="G78" s="5"/>
      <c r="H78" s="5"/>
      <c r="I78" s="5"/>
      <c r="J78" s="5"/>
      <c r="K78" s="5"/>
      <c r="L78" s="5">
        <v>5</v>
      </c>
      <c r="M78" s="5"/>
      <c r="N78" s="5"/>
      <c r="O78" s="5"/>
      <c r="P78" s="5">
        <v>1.85</v>
      </c>
      <c r="Q78" s="5"/>
      <c r="R78" s="5"/>
      <c r="S78" s="5"/>
      <c r="T78" s="5"/>
      <c r="U78" s="5"/>
      <c r="V78" s="5"/>
      <c r="W78" s="5">
        <v>8.1</v>
      </c>
      <c r="X78" s="5">
        <v>4.95</v>
      </c>
      <c r="Y78" s="5">
        <v>0.2</v>
      </c>
      <c r="Z78" s="5"/>
      <c r="AA78" s="5"/>
      <c r="AB78" s="5"/>
      <c r="AC78" s="5"/>
      <c r="AD78" s="5">
        <v>6.65</v>
      </c>
      <c r="AE78" s="5"/>
      <c r="AF78" s="5">
        <v>1.55</v>
      </c>
      <c r="AG78" s="5">
        <v>0.08</v>
      </c>
    </row>
    <row r="79" spans="1:33" s="88" customFormat="1" ht="11.25" customHeight="1" x14ac:dyDescent="0.3">
      <c r="A79" s="5">
        <v>397</v>
      </c>
      <c r="B79" s="5" t="s">
        <v>44</v>
      </c>
      <c r="C79" s="5">
        <v>180</v>
      </c>
      <c r="D79" s="5">
        <v>110</v>
      </c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>
        <v>1.65</v>
      </c>
      <c r="AC79" s="5"/>
      <c r="AD79" s="5">
        <v>5</v>
      </c>
      <c r="AE79" s="5"/>
      <c r="AF79" s="5"/>
      <c r="AG79" s="5"/>
    </row>
    <row r="80" spans="1:33" s="88" customFormat="1" ht="11.25" customHeight="1" x14ac:dyDescent="0.3">
      <c r="A80" s="5"/>
      <c r="B80" s="5" t="s">
        <v>32</v>
      </c>
      <c r="C80" s="5">
        <v>25</v>
      </c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>
        <v>25</v>
      </c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</row>
    <row r="81" spans="1:33" s="88" customFormat="1" ht="11.25" customHeight="1" x14ac:dyDescent="0.3">
      <c r="A81" s="5">
        <v>368</v>
      </c>
      <c r="B81" s="5" t="s">
        <v>38</v>
      </c>
      <c r="C81" s="5">
        <v>95</v>
      </c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>
        <v>95</v>
      </c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</row>
    <row r="82" spans="1:33" ht="10.5" customHeight="1" x14ac:dyDescent="0.2">
      <c r="C82" s="72"/>
    </row>
    <row r="84" spans="1:33" s="90" customFormat="1" ht="10.5" customHeight="1" x14ac:dyDescent="0.2">
      <c r="A84" s="7"/>
      <c r="B84" s="8" t="s">
        <v>84</v>
      </c>
      <c r="C84" s="7"/>
      <c r="D84" s="7">
        <f t="shared" ref="D84:AG84" si="2">SUM(D60:D83)</f>
        <v>580.62</v>
      </c>
      <c r="E84" s="7">
        <f t="shared" si="2"/>
        <v>0</v>
      </c>
      <c r="F84" s="7">
        <f t="shared" si="2"/>
        <v>15</v>
      </c>
      <c r="G84" s="7">
        <f t="shared" si="2"/>
        <v>0</v>
      </c>
      <c r="H84" s="7">
        <f t="shared" si="2"/>
        <v>37.5</v>
      </c>
      <c r="I84" s="7">
        <f t="shared" si="2"/>
        <v>0</v>
      </c>
      <c r="J84" s="7">
        <f t="shared" si="2"/>
        <v>45</v>
      </c>
      <c r="K84" s="7">
        <f t="shared" si="2"/>
        <v>0</v>
      </c>
      <c r="L84" s="7">
        <f t="shared" si="2"/>
        <v>41</v>
      </c>
      <c r="M84" s="7">
        <f t="shared" si="2"/>
        <v>111.6</v>
      </c>
      <c r="N84" s="7">
        <f t="shared" si="2"/>
        <v>205.04</v>
      </c>
      <c r="O84" s="7">
        <f t="shared" si="2"/>
        <v>95</v>
      </c>
      <c r="P84" s="7">
        <f t="shared" si="2"/>
        <v>1.85</v>
      </c>
      <c r="Q84" s="7">
        <f t="shared" si="2"/>
        <v>0</v>
      </c>
      <c r="R84" s="7">
        <f t="shared" si="2"/>
        <v>0</v>
      </c>
      <c r="S84" s="7">
        <f t="shared" si="2"/>
        <v>40</v>
      </c>
      <c r="T84" s="7">
        <f t="shared" si="2"/>
        <v>56.75</v>
      </c>
      <c r="U84" s="7">
        <f t="shared" si="2"/>
        <v>16.7</v>
      </c>
      <c r="V84" s="7">
        <f t="shared" si="2"/>
        <v>0</v>
      </c>
      <c r="W84" s="7">
        <f t="shared" si="2"/>
        <v>11.91</v>
      </c>
      <c r="X84" s="7">
        <f t="shared" si="2"/>
        <v>20.02</v>
      </c>
      <c r="Y84" s="7">
        <f t="shared" si="2"/>
        <v>3.8000000000000003</v>
      </c>
      <c r="Z84" s="7">
        <f t="shared" si="2"/>
        <v>20</v>
      </c>
      <c r="AA84" s="7">
        <f t="shared" si="2"/>
        <v>0.84</v>
      </c>
      <c r="AB84" s="7">
        <f t="shared" si="2"/>
        <v>1.65</v>
      </c>
      <c r="AC84" s="7">
        <f t="shared" si="2"/>
        <v>0</v>
      </c>
      <c r="AD84" s="7">
        <f t="shared" si="2"/>
        <v>34.15</v>
      </c>
      <c r="AE84" s="7">
        <f t="shared" si="2"/>
        <v>0</v>
      </c>
      <c r="AF84" s="7">
        <f t="shared" si="2"/>
        <v>1.55</v>
      </c>
      <c r="AG84" s="7">
        <f t="shared" si="2"/>
        <v>2.9000000000000004</v>
      </c>
    </row>
    <row r="85" spans="1:33" ht="10.5" customHeight="1" x14ac:dyDescent="0.25">
      <c r="A85" s="135" t="s">
        <v>43</v>
      </c>
      <c r="B85" s="136"/>
    </row>
    <row r="86" spans="1:33" s="88" customFormat="1" ht="14.4" x14ac:dyDescent="0.3">
      <c r="A86" s="5">
        <v>7</v>
      </c>
      <c r="B86" s="5" t="s">
        <v>124</v>
      </c>
      <c r="C86" s="5">
        <v>8</v>
      </c>
      <c r="D86" s="5"/>
      <c r="E86" s="5"/>
      <c r="F86" s="5"/>
      <c r="G86" s="5">
        <v>8</v>
      </c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</row>
    <row r="87" spans="1:33" s="88" customFormat="1" ht="21.6" x14ac:dyDescent="0.3">
      <c r="A87" s="5">
        <v>93</v>
      </c>
      <c r="B87" s="73" t="s">
        <v>157</v>
      </c>
      <c r="C87" s="5">
        <v>150</v>
      </c>
      <c r="D87" s="5">
        <v>150</v>
      </c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>
        <v>13.5</v>
      </c>
      <c r="W87" s="5"/>
      <c r="X87" s="5">
        <v>1.5</v>
      </c>
      <c r="Y87" s="5"/>
      <c r="Z87" s="5"/>
      <c r="AA87" s="5"/>
      <c r="AB87" s="5"/>
      <c r="AC87" s="5"/>
      <c r="AD87" s="5">
        <v>1.2</v>
      </c>
      <c r="AE87" s="5"/>
      <c r="AF87" s="5"/>
      <c r="AG87" s="5">
        <v>0.22</v>
      </c>
    </row>
    <row r="88" spans="1:33" s="88" customFormat="1" ht="12" customHeight="1" x14ac:dyDescent="0.3">
      <c r="A88" s="5">
        <v>397</v>
      </c>
      <c r="B88" s="5" t="s">
        <v>44</v>
      </c>
      <c r="C88" s="5">
        <v>150</v>
      </c>
      <c r="D88" s="5">
        <v>92</v>
      </c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>
        <v>1.65</v>
      </c>
      <c r="AC88" s="5"/>
      <c r="AD88" s="5">
        <v>5</v>
      </c>
      <c r="AE88" s="5"/>
      <c r="AF88" s="5"/>
      <c r="AG88" s="5"/>
    </row>
    <row r="89" spans="1:33" s="88" customFormat="1" ht="11.25" customHeight="1" x14ac:dyDescent="0.3">
      <c r="A89" s="5"/>
      <c r="B89" s="5" t="s">
        <v>146</v>
      </c>
      <c r="C89" s="5">
        <v>20</v>
      </c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>
        <v>20</v>
      </c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</row>
    <row r="90" spans="1:33" s="88" customFormat="1" ht="11.25" customHeight="1" x14ac:dyDescent="0.3">
      <c r="A90" s="5">
        <v>368</v>
      </c>
      <c r="B90" s="5" t="s">
        <v>158</v>
      </c>
      <c r="C90" s="74">
        <v>95</v>
      </c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>
        <v>95</v>
      </c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</row>
    <row r="91" spans="1:33" ht="10.5" customHeight="1" x14ac:dyDescent="0.2">
      <c r="C91" s="74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</row>
    <row r="92" spans="1:33" ht="10.5" customHeight="1" x14ac:dyDescent="0.2">
      <c r="A92" s="5">
        <v>399</v>
      </c>
      <c r="B92" s="5" t="s">
        <v>129</v>
      </c>
      <c r="C92" s="5">
        <v>180</v>
      </c>
      <c r="Q92" s="5">
        <v>180</v>
      </c>
    </row>
    <row r="93" spans="1:33" s="88" customFormat="1" ht="11.25" customHeight="1" x14ac:dyDescent="0.3">
      <c r="A93" s="5"/>
      <c r="B93" s="5" t="s">
        <v>145</v>
      </c>
      <c r="C93" s="5">
        <v>20</v>
      </c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>
        <v>20</v>
      </c>
      <c r="AA93" s="75"/>
      <c r="AB93" s="75"/>
      <c r="AC93" s="75"/>
      <c r="AD93" s="75"/>
      <c r="AE93" s="75"/>
      <c r="AF93" s="75"/>
      <c r="AG93" s="75"/>
    </row>
    <row r="94" spans="1:33" s="92" customFormat="1" ht="10.5" customHeight="1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</row>
    <row r="95" spans="1:33" s="88" customFormat="1" ht="12" customHeight="1" x14ac:dyDescent="0.3">
      <c r="A95" s="5"/>
      <c r="B95" s="5" t="s">
        <v>159</v>
      </c>
      <c r="C95" s="5">
        <v>40</v>
      </c>
      <c r="D95" s="5"/>
      <c r="E95" s="5"/>
      <c r="F95" s="5"/>
      <c r="G95" s="5"/>
      <c r="H95" s="5"/>
      <c r="I95" s="5"/>
      <c r="J95" s="5"/>
      <c r="K95" s="5"/>
      <c r="L95" s="5"/>
      <c r="M95" s="5"/>
      <c r="N95" s="5">
        <v>40</v>
      </c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</row>
    <row r="96" spans="1:33" s="88" customFormat="1" ht="12.75" customHeight="1" x14ac:dyDescent="0.3">
      <c r="A96" s="5">
        <v>81</v>
      </c>
      <c r="B96" s="5" t="s">
        <v>160</v>
      </c>
      <c r="C96" s="5">
        <v>180</v>
      </c>
      <c r="D96" s="5"/>
      <c r="E96" s="5"/>
      <c r="F96" s="5"/>
      <c r="G96" s="5"/>
      <c r="H96" s="5"/>
      <c r="I96" s="5"/>
      <c r="J96" s="5"/>
      <c r="K96" s="5"/>
      <c r="L96" s="5"/>
      <c r="M96" s="5">
        <v>36</v>
      </c>
      <c r="N96" s="5">
        <v>16.2</v>
      </c>
      <c r="O96" s="5"/>
      <c r="P96" s="5"/>
      <c r="Q96" s="5"/>
      <c r="R96" s="5"/>
      <c r="S96" s="5"/>
      <c r="T96" s="5"/>
      <c r="U96" s="5">
        <v>14.4</v>
      </c>
      <c r="V96" s="5"/>
      <c r="W96" s="5"/>
      <c r="X96" s="5"/>
      <c r="Y96" s="5">
        <v>3.9</v>
      </c>
      <c r="Z96" s="5"/>
      <c r="AA96" s="5"/>
      <c r="AB96" s="5"/>
      <c r="AC96" s="5"/>
      <c r="AD96" s="5"/>
      <c r="AE96" s="5"/>
      <c r="AF96" s="5"/>
      <c r="AG96" s="5">
        <v>1</v>
      </c>
    </row>
    <row r="97" spans="1:33" s="88" customFormat="1" ht="13.5" customHeight="1" x14ac:dyDescent="0.3">
      <c r="A97" s="5">
        <v>284</v>
      </c>
      <c r="B97" s="5" t="s">
        <v>161</v>
      </c>
      <c r="C97" s="5">
        <v>80</v>
      </c>
      <c r="D97" s="5">
        <v>10</v>
      </c>
      <c r="E97" s="5"/>
      <c r="F97" s="5"/>
      <c r="G97" s="5"/>
      <c r="H97" s="5"/>
      <c r="I97" s="5"/>
      <c r="J97" s="5"/>
      <c r="K97" s="5">
        <v>30</v>
      </c>
      <c r="L97" s="5">
        <v>5</v>
      </c>
      <c r="M97" s="5"/>
      <c r="N97" s="5">
        <v>11</v>
      </c>
      <c r="O97" s="5"/>
      <c r="P97" s="5"/>
      <c r="Q97" s="5"/>
      <c r="R97" s="5"/>
      <c r="S97" s="5"/>
      <c r="T97" s="5"/>
      <c r="U97" s="5">
        <v>6.9</v>
      </c>
      <c r="V97" s="5"/>
      <c r="W97" s="5">
        <v>2.9</v>
      </c>
      <c r="X97" s="5">
        <v>8.9</v>
      </c>
      <c r="Y97" s="5"/>
      <c r="Z97" s="5"/>
      <c r="AA97" s="5"/>
      <c r="AB97" s="5"/>
      <c r="AC97" s="5"/>
      <c r="AD97" s="5"/>
      <c r="AE97" s="5"/>
      <c r="AF97" s="5"/>
      <c r="AG97" s="5">
        <v>0.5</v>
      </c>
    </row>
    <row r="98" spans="1:33" s="88" customFormat="1" ht="12.75" customHeight="1" x14ac:dyDescent="0.3">
      <c r="A98" s="5">
        <v>318</v>
      </c>
      <c r="B98" s="5" t="s">
        <v>46</v>
      </c>
      <c r="C98" s="5">
        <v>120</v>
      </c>
      <c r="D98" s="5"/>
      <c r="E98" s="5"/>
      <c r="F98" s="5"/>
      <c r="G98" s="5"/>
      <c r="H98" s="5"/>
      <c r="I98" s="5"/>
      <c r="J98" s="5"/>
      <c r="K98" s="5"/>
      <c r="L98" s="5"/>
      <c r="M98" s="5">
        <v>120</v>
      </c>
      <c r="N98" s="5"/>
      <c r="O98" s="5"/>
      <c r="P98" s="5"/>
      <c r="Q98" s="5"/>
      <c r="R98" s="5"/>
      <c r="S98" s="5"/>
      <c r="T98" s="5"/>
      <c r="U98" s="5"/>
      <c r="V98" s="5"/>
      <c r="W98" s="5"/>
      <c r="X98" s="5">
        <v>3.5</v>
      </c>
      <c r="Y98" s="5"/>
      <c r="Z98" s="5"/>
      <c r="AA98" s="5"/>
      <c r="AB98" s="5"/>
      <c r="AC98" s="5"/>
      <c r="AD98" s="5"/>
      <c r="AE98" s="5"/>
      <c r="AF98" s="5"/>
      <c r="AG98" s="5">
        <v>0.5</v>
      </c>
    </row>
    <row r="99" spans="1:33" s="88" customFormat="1" ht="11.25" customHeight="1" x14ac:dyDescent="0.3">
      <c r="A99" s="5">
        <v>384</v>
      </c>
      <c r="B99" s="5" t="s">
        <v>137</v>
      </c>
      <c r="C99" s="5">
        <v>180</v>
      </c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>
        <v>36</v>
      </c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>
        <v>5</v>
      </c>
      <c r="AE99" s="5"/>
      <c r="AF99" s="5"/>
      <c r="AG99" s="5"/>
    </row>
    <row r="100" spans="1:33" s="88" customFormat="1" ht="12" customHeight="1" x14ac:dyDescent="0.3">
      <c r="A100" s="5"/>
      <c r="B100" s="5" t="s">
        <v>146</v>
      </c>
      <c r="C100" s="5">
        <v>20</v>
      </c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>
        <v>20</v>
      </c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</row>
    <row r="101" spans="1:33" s="88" customFormat="1" ht="11.25" customHeight="1" x14ac:dyDescent="0.3">
      <c r="A101" s="5"/>
      <c r="B101" s="5" t="s">
        <v>32</v>
      </c>
      <c r="C101" s="5">
        <v>30</v>
      </c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>
        <v>30</v>
      </c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</row>
    <row r="103" spans="1:33" s="88" customFormat="1" ht="11.25" customHeight="1" x14ac:dyDescent="0.3">
      <c r="A103" s="5">
        <v>16</v>
      </c>
      <c r="B103" s="5" t="s">
        <v>81</v>
      </c>
      <c r="C103" s="5">
        <v>40</v>
      </c>
      <c r="D103" s="5"/>
      <c r="E103" s="5"/>
      <c r="F103" s="5"/>
      <c r="G103" s="5"/>
      <c r="H103" s="5"/>
      <c r="I103" s="5"/>
      <c r="J103" s="5"/>
      <c r="K103" s="5"/>
      <c r="L103" s="5"/>
      <c r="M103" s="5">
        <v>10.4</v>
      </c>
      <c r="N103" s="5">
        <v>28</v>
      </c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>
        <v>2</v>
      </c>
      <c r="Z103" s="5"/>
      <c r="AA103" s="5"/>
      <c r="AB103" s="5"/>
      <c r="AC103" s="5"/>
      <c r="AD103" s="5"/>
      <c r="AE103" s="5"/>
      <c r="AF103" s="5"/>
      <c r="AG103" s="5">
        <v>0.1</v>
      </c>
    </row>
    <row r="104" spans="1:33" s="88" customFormat="1" ht="12" customHeight="1" x14ac:dyDescent="0.3">
      <c r="A104" s="5">
        <v>249</v>
      </c>
      <c r="B104" s="5" t="s">
        <v>126</v>
      </c>
      <c r="C104" s="5">
        <v>60</v>
      </c>
      <c r="D104" s="5">
        <v>6</v>
      </c>
      <c r="E104" s="5"/>
      <c r="F104" s="5"/>
      <c r="G104" s="5"/>
      <c r="H104" s="5"/>
      <c r="I104" s="5"/>
      <c r="J104" s="5">
        <v>48.75</v>
      </c>
      <c r="K104" s="5"/>
      <c r="L104" s="5">
        <v>15</v>
      </c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>
        <v>2.25</v>
      </c>
      <c r="X104" s="5">
        <v>2</v>
      </c>
      <c r="Y104" s="5">
        <v>0.15</v>
      </c>
      <c r="Z104" s="5"/>
      <c r="AA104" s="5"/>
      <c r="AB104" s="5"/>
      <c r="AC104" s="5"/>
      <c r="AD104" s="5"/>
      <c r="AE104" s="5"/>
      <c r="AF104" s="5"/>
      <c r="AG104" s="5">
        <v>0.5</v>
      </c>
    </row>
    <row r="105" spans="1:33" s="88" customFormat="1" ht="12.75" customHeight="1" x14ac:dyDescent="0.3">
      <c r="A105" s="5">
        <v>320</v>
      </c>
      <c r="B105" s="5" t="s">
        <v>162</v>
      </c>
      <c r="C105" s="5">
        <v>120</v>
      </c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>
        <v>39.69</v>
      </c>
      <c r="V105" s="5"/>
      <c r="W105" s="5"/>
      <c r="X105" s="5">
        <v>3.96</v>
      </c>
      <c r="Y105" s="5"/>
      <c r="Z105" s="5"/>
      <c r="AA105" s="5"/>
      <c r="AB105" s="5"/>
      <c r="AC105" s="5"/>
      <c r="AD105" s="5"/>
      <c r="AE105" s="5"/>
      <c r="AF105" s="5"/>
      <c r="AG105" s="5">
        <v>0.2</v>
      </c>
    </row>
    <row r="106" spans="1:33" s="88" customFormat="1" ht="11.25" customHeight="1" x14ac:dyDescent="0.3">
      <c r="A106" s="5">
        <v>394</v>
      </c>
      <c r="B106" s="5" t="s">
        <v>190</v>
      </c>
      <c r="C106" s="5">
        <v>160</v>
      </c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>
        <v>0.74</v>
      </c>
      <c r="AB106" s="5"/>
      <c r="AC106" s="5"/>
      <c r="AD106" s="5">
        <v>4</v>
      </c>
      <c r="AE106" s="5"/>
      <c r="AF106" s="5"/>
      <c r="AG106" s="5"/>
    </row>
    <row r="107" spans="1:33" s="88" customFormat="1" ht="11.25" customHeight="1" x14ac:dyDescent="0.3">
      <c r="A107" s="75">
        <v>491</v>
      </c>
      <c r="B107" s="75" t="s">
        <v>114</v>
      </c>
      <c r="C107" s="75">
        <v>37</v>
      </c>
      <c r="D107" s="75"/>
      <c r="E107" s="75"/>
      <c r="F107" s="75"/>
      <c r="G107" s="75"/>
      <c r="H107" s="75"/>
      <c r="I107" s="75"/>
      <c r="J107" s="75"/>
      <c r="K107" s="75"/>
      <c r="L107" s="75">
        <v>6.5</v>
      </c>
      <c r="M107" s="75"/>
      <c r="N107" s="75">
        <v>6</v>
      </c>
      <c r="O107" s="75"/>
      <c r="P107" s="75">
        <v>4.4000000000000004</v>
      </c>
      <c r="Q107" s="75"/>
      <c r="R107" s="75"/>
      <c r="S107" s="75"/>
      <c r="T107" s="75"/>
      <c r="U107" s="75"/>
      <c r="V107" s="75"/>
      <c r="W107" s="75">
        <v>11.7</v>
      </c>
      <c r="X107" s="75">
        <v>7.4</v>
      </c>
      <c r="Y107" s="75"/>
      <c r="Z107" s="75"/>
      <c r="AA107" s="75"/>
      <c r="AB107" s="75"/>
      <c r="AC107" s="75"/>
      <c r="AD107" s="75">
        <v>9.1999999999999993</v>
      </c>
      <c r="AE107" s="75"/>
      <c r="AF107" s="75"/>
      <c r="AG107" s="75">
        <v>0.04</v>
      </c>
    </row>
    <row r="108" spans="1:33" s="88" customFormat="1" ht="11.25" customHeight="1" x14ac:dyDescent="0.3">
      <c r="A108" s="5"/>
      <c r="B108" s="5" t="s">
        <v>32</v>
      </c>
      <c r="C108" s="74">
        <v>30</v>
      </c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>
        <v>30</v>
      </c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</row>
    <row r="109" spans="1:33" ht="10.5" customHeight="1" x14ac:dyDescent="0.2">
      <c r="C109" s="76"/>
    </row>
    <row r="110" spans="1:33" s="93" customFormat="1" ht="10.5" customHeight="1" x14ac:dyDescent="0.2">
      <c r="A110" s="6"/>
      <c r="B110" s="9" t="s">
        <v>84</v>
      </c>
      <c r="C110" s="6"/>
      <c r="D110" s="6">
        <f t="shared" ref="D110:AG110" si="3">SUM(D86:D108)</f>
        <v>258</v>
      </c>
      <c r="E110" s="6">
        <f t="shared" si="3"/>
        <v>0</v>
      </c>
      <c r="F110" s="6">
        <f t="shared" si="3"/>
        <v>0</v>
      </c>
      <c r="G110" s="6">
        <f t="shared" si="3"/>
        <v>8</v>
      </c>
      <c r="H110" s="6">
        <f t="shared" si="3"/>
        <v>0</v>
      </c>
      <c r="I110" s="6">
        <f t="shared" si="3"/>
        <v>0</v>
      </c>
      <c r="J110" s="6">
        <f t="shared" si="3"/>
        <v>48.75</v>
      </c>
      <c r="K110" s="6">
        <f t="shared" si="3"/>
        <v>30</v>
      </c>
      <c r="L110" s="6">
        <f t="shared" si="3"/>
        <v>26.5</v>
      </c>
      <c r="M110" s="6">
        <f t="shared" si="3"/>
        <v>166.4</v>
      </c>
      <c r="N110" s="6">
        <f t="shared" si="3"/>
        <v>101.2</v>
      </c>
      <c r="O110" s="6">
        <f t="shared" si="3"/>
        <v>131</v>
      </c>
      <c r="P110" s="6">
        <f t="shared" si="3"/>
        <v>4.4000000000000004</v>
      </c>
      <c r="Q110" s="6">
        <f t="shared" si="3"/>
        <v>180</v>
      </c>
      <c r="R110" s="6">
        <f t="shared" si="3"/>
        <v>0</v>
      </c>
      <c r="S110" s="6">
        <f t="shared" si="3"/>
        <v>40</v>
      </c>
      <c r="T110" s="6">
        <f t="shared" si="3"/>
        <v>60</v>
      </c>
      <c r="U110" s="6">
        <f t="shared" si="3"/>
        <v>60.989999999999995</v>
      </c>
      <c r="V110" s="6">
        <f t="shared" si="3"/>
        <v>13.5</v>
      </c>
      <c r="W110" s="6">
        <f t="shared" si="3"/>
        <v>16.850000000000001</v>
      </c>
      <c r="X110" s="6">
        <f t="shared" si="3"/>
        <v>27.259999999999998</v>
      </c>
      <c r="Y110" s="6">
        <f t="shared" si="3"/>
        <v>6.0500000000000007</v>
      </c>
      <c r="Z110" s="6">
        <f t="shared" si="3"/>
        <v>20</v>
      </c>
      <c r="AA110" s="6">
        <f t="shared" si="3"/>
        <v>0.74</v>
      </c>
      <c r="AB110" s="6">
        <f t="shared" si="3"/>
        <v>1.65</v>
      </c>
      <c r="AC110" s="6">
        <f t="shared" si="3"/>
        <v>0</v>
      </c>
      <c r="AD110" s="6">
        <f t="shared" si="3"/>
        <v>24.4</v>
      </c>
      <c r="AE110" s="6">
        <f t="shared" si="3"/>
        <v>0</v>
      </c>
      <c r="AF110" s="6">
        <f t="shared" si="3"/>
        <v>0</v>
      </c>
      <c r="AG110" s="6">
        <f t="shared" si="3"/>
        <v>3.06</v>
      </c>
    </row>
    <row r="112" spans="1:33" s="87" customFormat="1" ht="10.5" customHeight="1" x14ac:dyDescent="0.25">
      <c r="A112" s="131" t="s">
        <v>80</v>
      </c>
      <c r="B112" s="132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  <c r="AA112" s="71"/>
      <c r="AB112" s="71"/>
      <c r="AC112" s="71"/>
      <c r="AD112" s="71"/>
      <c r="AE112" s="71"/>
      <c r="AF112" s="71"/>
      <c r="AG112" s="71"/>
    </row>
    <row r="114" spans="1:33" ht="10.5" customHeight="1" x14ac:dyDescent="0.2">
      <c r="A114" s="5">
        <v>89</v>
      </c>
      <c r="B114" s="5" t="s">
        <v>166</v>
      </c>
      <c r="C114" s="5">
        <v>100</v>
      </c>
      <c r="D114" s="5">
        <v>80</v>
      </c>
      <c r="U114" s="5">
        <v>5</v>
      </c>
      <c r="X114" s="5">
        <v>1</v>
      </c>
      <c r="AD114" s="5">
        <v>0.4</v>
      </c>
      <c r="AG114" s="5">
        <v>0.1</v>
      </c>
    </row>
    <row r="115" spans="1:33" s="88" customFormat="1" ht="11.25" customHeight="1" x14ac:dyDescent="0.3">
      <c r="A115" s="5">
        <v>6</v>
      </c>
      <c r="B115" s="5" t="s">
        <v>36</v>
      </c>
      <c r="C115" s="5">
        <v>5</v>
      </c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>
        <v>5</v>
      </c>
      <c r="Y115" s="5"/>
      <c r="Z115" s="5"/>
      <c r="AA115" s="5"/>
      <c r="AB115" s="5"/>
      <c r="AC115" s="5"/>
      <c r="AD115" s="5"/>
      <c r="AE115" s="5"/>
      <c r="AF115" s="5"/>
      <c r="AG115" s="5"/>
    </row>
    <row r="116" spans="1:33" s="88" customFormat="1" ht="14.4" x14ac:dyDescent="0.3">
      <c r="A116" s="5">
        <v>233</v>
      </c>
      <c r="B116" s="5" t="s">
        <v>138</v>
      </c>
      <c r="C116" s="5" t="s">
        <v>164</v>
      </c>
      <c r="D116" s="5">
        <v>23.4</v>
      </c>
      <c r="E116" s="5">
        <v>70.2</v>
      </c>
      <c r="F116" s="5">
        <v>5.2</v>
      </c>
      <c r="G116" s="5"/>
      <c r="H116" s="5"/>
      <c r="I116" s="5"/>
      <c r="J116" s="5"/>
      <c r="K116" s="5"/>
      <c r="L116" s="5">
        <v>6</v>
      </c>
      <c r="M116" s="5"/>
      <c r="N116" s="5">
        <v>14.3</v>
      </c>
      <c r="O116" s="5"/>
      <c r="P116" s="5">
        <v>5.23</v>
      </c>
      <c r="Q116" s="5"/>
      <c r="R116" s="5"/>
      <c r="S116" s="5">
        <v>3.4</v>
      </c>
      <c r="T116" s="5"/>
      <c r="U116" s="5">
        <v>8.6999999999999993</v>
      </c>
      <c r="V116" s="5"/>
      <c r="W116" s="5">
        <v>7.8</v>
      </c>
      <c r="X116" s="5">
        <v>3.4</v>
      </c>
      <c r="Y116" s="5"/>
      <c r="Z116" s="5"/>
      <c r="AA116" s="5"/>
      <c r="AB116" s="5"/>
      <c r="AC116" s="5"/>
      <c r="AD116" s="5">
        <v>10</v>
      </c>
      <c r="AE116" s="5"/>
      <c r="AF116" s="5"/>
      <c r="AG116" s="5">
        <v>0.4</v>
      </c>
    </row>
    <row r="117" spans="1:33" s="88" customFormat="1" ht="12.75" customHeight="1" x14ac:dyDescent="0.3">
      <c r="A117" s="5">
        <v>394</v>
      </c>
      <c r="B117" s="5" t="s">
        <v>165</v>
      </c>
      <c r="C117" s="5">
        <v>160</v>
      </c>
      <c r="D117" s="5">
        <v>80</v>
      </c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>
        <v>0.7</v>
      </c>
      <c r="AB117" s="5"/>
      <c r="AC117" s="5"/>
      <c r="AD117" s="5">
        <v>4</v>
      </c>
      <c r="AE117" s="5"/>
      <c r="AF117" s="5"/>
      <c r="AG117" s="5"/>
    </row>
    <row r="118" spans="1:33" s="88" customFormat="1" ht="11.25" customHeight="1" x14ac:dyDescent="0.3">
      <c r="A118" s="5"/>
      <c r="B118" s="5" t="s">
        <v>146</v>
      </c>
      <c r="C118" s="5">
        <v>20</v>
      </c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>
        <v>20</v>
      </c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</row>
    <row r="119" spans="1:33" ht="10.5" customHeight="1" x14ac:dyDescent="0.2">
      <c r="C119" s="72"/>
    </row>
    <row r="121" spans="1:33" s="88" customFormat="1" ht="14.4" x14ac:dyDescent="0.3">
      <c r="A121" s="5"/>
      <c r="B121" s="5" t="s">
        <v>145</v>
      </c>
      <c r="C121" s="5">
        <v>20</v>
      </c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>
        <v>20</v>
      </c>
      <c r="AA121" s="5"/>
      <c r="AB121" s="5"/>
      <c r="AC121" s="5"/>
      <c r="AD121" s="5"/>
      <c r="AE121" s="5"/>
      <c r="AF121" s="5"/>
      <c r="AG121" s="5"/>
    </row>
    <row r="123" spans="1:33" ht="10.5" customHeight="1" x14ac:dyDescent="0.2">
      <c r="A123" s="5">
        <v>15</v>
      </c>
      <c r="B123" s="5" t="s">
        <v>97</v>
      </c>
      <c r="C123" s="10">
        <v>40</v>
      </c>
      <c r="N123" s="5">
        <f>76*40/80</f>
        <v>38</v>
      </c>
      <c r="Y123" s="5">
        <f>3.6*40/80</f>
        <v>1.8</v>
      </c>
      <c r="AG123" s="5">
        <v>0.09</v>
      </c>
    </row>
    <row r="124" spans="1:33" s="94" customFormat="1" ht="10.5" customHeight="1" x14ac:dyDescent="0.2">
      <c r="A124" s="77">
        <v>57</v>
      </c>
      <c r="B124" s="77" t="s">
        <v>48</v>
      </c>
      <c r="C124" s="78">
        <v>150</v>
      </c>
      <c r="D124" s="77"/>
      <c r="E124" s="77"/>
      <c r="F124" s="77"/>
      <c r="G124" s="77"/>
      <c r="H124" s="77"/>
      <c r="I124" s="77"/>
      <c r="J124" s="77"/>
      <c r="K124" s="77"/>
      <c r="L124" s="77"/>
      <c r="M124" s="77">
        <f>20*150/250</f>
        <v>12</v>
      </c>
      <c r="N124" s="77">
        <f>98.6*150/250</f>
        <v>59.16</v>
      </c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>
        <f>5*150/250</f>
        <v>3</v>
      </c>
      <c r="Z124" s="77"/>
      <c r="AA124" s="77"/>
      <c r="AB124" s="77"/>
      <c r="AC124" s="77"/>
      <c r="AD124" s="77">
        <v>1.5</v>
      </c>
      <c r="AE124" s="77"/>
      <c r="AF124" s="77"/>
      <c r="AG124" s="77">
        <v>0.15</v>
      </c>
    </row>
    <row r="125" spans="1:33" ht="10.5" customHeight="1" x14ac:dyDescent="0.2">
      <c r="A125" s="5">
        <v>289</v>
      </c>
      <c r="B125" s="5" t="s">
        <v>127</v>
      </c>
      <c r="C125" s="74">
        <v>60</v>
      </c>
      <c r="D125" s="5">
        <v>12.7</v>
      </c>
      <c r="H125" s="5">
        <v>44.2</v>
      </c>
      <c r="T125" s="5">
        <v>11.2</v>
      </c>
      <c r="X125" s="5">
        <v>2.2000000000000002</v>
      </c>
      <c r="AG125" s="5">
        <v>0.7</v>
      </c>
    </row>
    <row r="126" spans="1:33" s="88" customFormat="1" ht="12" customHeight="1" x14ac:dyDescent="0.3">
      <c r="A126" s="5">
        <v>205</v>
      </c>
      <c r="B126" s="5" t="s">
        <v>92</v>
      </c>
      <c r="C126" s="5">
        <v>120</v>
      </c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>
        <v>42</v>
      </c>
      <c r="W126" s="5"/>
      <c r="X126" s="5">
        <v>3.6</v>
      </c>
      <c r="Y126" s="5"/>
      <c r="Z126" s="5"/>
      <c r="AA126" s="5"/>
      <c r="AB126" s="5"/>
      <c r="AC126" s="5"/>
      <c r="AD126" s="5"/>
      <c r="AE126" s="5"/>
      <c r="AF126" s="5"/>
      <c r="AG126" s="5">
        <v>1.3</v>
      </c>
    </row>
    <row r="127" spans="1:33" s="88" customFormat="1" ht="12.75" customHeight="1" x14ac:dyDescent="0.3">
      <c r="A127" s="5">
        <v>372</v>
      </c>
      <c r="B127" s="5" t="s">
        <v>137</v>
      </c>
      <c r="C127" s="74">
        <v>180</v>
      </c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>
        <v>36</v>
      </c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>
        <v>5</v>
      </c>
      <c r="AE127" s="5"/>
      <c r="AF127" s="5"/>
      <c r="AG127" s="5"/>
    </row>
    <row r="128" spans="1:33" s="88" customFormat="1" ht="12" customHeight="1" x14ac:dyDescent="0.3">
      <c r="A128" s="5"/>
      <c r="B128" s="5" t="s">
        <v>146</v>
      </c>
      <c r="C128" s="5">
        <v>20</v>
      </c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>
        <v>20</v>
      </c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</row>
    <row r="129" spans="1:33" s="88" customFormat="1" ht="13.5" customHeight="1" x14ac:dyDescent="0.3">
      <c r="A129" s="5"/>
      <c r="B129" s="5" t="s">
        <v>32</v>
      </c>
      <c r="C129" s="74">
        <v>30</v>
      </c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>
        <v>25</v>
      </c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</row>
    <row r="131" spans="1:33" s="88" customFormat="1" ht="11.25" customHeight="1" x14ac:dyDescent="0.3">
      <c r="A131" s="5" t="s">
        <v>47</v>
      </c>
      <c r="B131" s="5" t="s">
        <v>125</v>
      </c>
      <c r="C131" s="5">
        <v>40</v>
      </c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>
        <v>40</v>
      </c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</row>
    <row r="132" spans="1:33" s="88" customFormat="1" ht="11.25" customHeight="1" x14ac:dyDescent="0.3">
      <c r="A132" s="5"/>
      <c r="B132" s="5" t="s">
        <v>167</v>
      </c>
      <c r="C132" s="5">
        <v>60</v>
      </c>
      <c r="D132" s="5"/>
      <c r="E132" s="5"/>
      <c r="F132" s="5"/>
      <c r="G132" s="5"/>
      <c r="H132" s="5"/>
      <c r="I132" s="5"/>
      <c r="J132" s="5"/>
      <c r="K132" s="5">
        <v>76.8</v>
      </c>
      <c r="L132" s="5">
        <v>6.8</v>
      </c>
      <c r="M132" s="5">
        <v>6.8</v>
      </c>
      <c r="N132" s="5">
        <v>15.9</v>
      </c>
      <c r="O132" s="5"/>
      <c r="P132" s="5"/>
      <c r="Q132" s="5"/>
      <c r="R132" s="5"/>
      <c r="S132" s="5"/>
      <c r="T132" s="5"/>
      <c r="U132" s="5"/>
      <c r="V132" s="5"/>
      <c r="W132" s="5"/>
      <c r="X132" s="5">
        <v>3.6</v>
      </c>
      <c r="Y132" s="5">
        <v>2.0499999999999998</v>
      </c>
      <c r="Z132" s="5"/>
      <c r="AA132" s="5"/>
      <c r="AB132" s="5" t="s">
        <v>168</v>
      </c>
      <c r="AC132" s="5"/>
      <c r="AD132" s="5"/>
      <c r="AE132" s="5"/>
      <c r="AF132" s="5"/>
      <c r="AG132" s="5">
        <v>0.68</v>
      </c>
    </row>
    <row r="133" spans="1:33" s="88" customFormat="1" ht="11.25" customHeight="1" x14ac:dyDescent="0.3">
      <c r="A133" s="5"/>
      <c r="B133" s="5" t="s">
        <v>169</v>
      </c>
      <c r="C133" s="5">
        <v>40</v>
      </c>
      <c r="D133" s="5"/>
      <c r="E133" s="5"/>
      <c r="F133" s="5"/>
      <c r="G133" s="5"/>
      <c r="H133" s="5"/>
      <c r="I133" s="5"/>
      <c r="J133" s="5"/>
      <c r="K133" s="5"/>
      <c r="L133" s="5">
        <v>40</v>
      </c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</row>
    <row r="134" spans="1:33" s="88" customFormat="1" ht="11.25" customHeight="1" x14ac:dyDescent="0.3">
      <c r="A134" s="5">
        <v>460</v>
      </c>
      <c r="B134" s="5" t="s">
        <v>82</v>
      </c>
      <c r="C134" s="5">
        <v>40</v>
      </c>
      <c r="D134" s="5"/>
      <c r="E134" s="5"/>
      <c r="F134" s="5"/>
      <c r="G134" s="5"/>
      <c r="H134" s="5"/>
      <c r="I134" s="5"/>
      <c r="J134" s="5"/>
      <c r="K134" s="5"/>
      <c r="L134" s="5">
        <v>5.3</v>
      </c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>
        <f>28*40/50</f>
        <v>22.4</v>
      </c>
      <c r="X134" s="5"/>
      <c r="Y134" s="5">
        <f>5.88*40/50</f>
        <v>4.7039999999999997</v>
      </c>
      <c r="Z134" s="5"/>
      <c r="AA134" s="5"/>
      <c r="AB134" s="5"/>
      <c r="AC134" s="5"/>
      <c r="AD134" s="5">
        <v>8.8000000000000007</v>
      </c>
      <c r="AE134" s="5">
        <v>1.5</v>
      </c>
      <c r="AF134" s="5"/>
      <c r="AG134" s="5">
        <v>0.2</v>
      </c>
    </row>
    <row r="135" spans="1:33" s="88" customFormat="1" ht="11.25" customHeight="1" x14ac:dyDescent="0.3">
      <c r="A135" s="5">
        <v>395</v>
      </c>
      <c r="B135" s="5" t="s">
        <v>142</v>
      </c>
      <c r="C135" s="5">
        <v>180</v>
      </c>
      <c r="D135" s="5">
        <v>90</v>
      </c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>
        <v>2.5</v>
      </c>
      <c r="AD135" s="5">
        <v>5</v>
      </c>
      <c r="AE135" s="5"/>
      <c r="AF135" s="5"/>
      <c r="AG135" s="5"/>
    </row>
    <row r="136" spans="1:33" s="88" customFormat="1" ht="11.25" customHeight="1" x14ac:dyDescent="0.3">
      <c r="A136" s="5"/>
      <c r="B136" s="5" t="s">
        <v>32</v>
      </c>
      <c r="C136" s="5">
        <v>30</v>
      </c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>
        <v>25</v>
      </c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</row>
    <row r="137" spans="1:33" ht="10.5" customHeight="1" x14ac:dyDescent="0.2">
      <c r="C137" s="72"/>
    </row>
    <row r="138" spans="1:33" s="90" customFormat="1" ht="10.5" customHeight="1" x14ac:dyDescent="0.2">
      <c r="A138" s="7"/>
      <c r="B138" s="8" t="s">
        <v>84</v>
      </c>
      <c r="C138" s="7"/>
      <c r="D138" s="7">
        <f t="shared" ref="D138:AG138" si="4">SUM(D113:D136)</f>
        <v>286.10000000000002</v>
      </c>
      <c r="E138" s="7">
        <f t="shared" si="4"/>
        <v>70.2</v>
      </c>
      <c r="F138" s="7">
        <f t="shared" si="4"/>
        <v>5.2</v>
      </c>
      <c r="G138" s="7">
        <f t="shared" si="4"/>
        <v>0</v>
      </c>
      <c r="H138" s="7">
        <f t="shared" si="4"/>
        <v>44.2</v>
      </c>
      <c r="I138" s="7">
        <f t="shared" si="4"/>
        <v>0</v>
      </c>
      <c r="J138" s="7">
        <f t="shared" si="4"/>
        <v>0</v>
      </c>
      <c r="K138" s="7">
        <f t="shared" si="4"/>
        <v>76.8</v>
      </c>
      <c r="L138" s="7">
        <f t="shared" si="4"/>
        <v>58.099999999999994</v>
      </c>
      <c r="M138" s="7">
        <f t="shared" si="4"/>
        <v>18.8</v>
      </c>
      <c r="N138" s="7">
        <f t="shared" si="4"/>
        <v>167.35999999999999</v>
      </c>
      <c r="O138" s="7">
        <f t="shared" si="4"/>
        <v>36</v>
      </c>
      <c r="P138" s="7">
        <f t="shared" si="4"/>
        <v>5.23</v>
      </c>
      <c r="Q138" s="7">
        <f t="shared" si="4"/>
        <v>0</v>
      </c>
      <c r="R138" s="7">
        <f t="shared" si="4"/>
        <v>0</v>
      </c>
      <c r="S138" s="7">
        <f t="shared" si="4"/>
        <v>43.4</v>
      </c>
      <c r="T138" s="7">
        <f t="shared" si="4"/>
        <v>61.2</v>
      </c>
      <c r="U138" s="7">
        <f t="shared" si="4"/>
        <v>13.7</v>
      </c>
      <c r="V138" s="7">
        <f t="shared" si="4"/>
        <v>42</v>
      </c>
      <c r="W138" s="7">
        <f t="shared" si="4"/>
        <v>30.2</v>
      </c>
      <c r="X138" s="7">
        <f t="shared" si="4"/>
        <v>18.8</v>
      </c>
      <c r="Y138" s="7">
        <f t="shared" si="4"/>
        <v>11.553999999999998</v>
      </c>
      <c r="Z138" s="7">
        <f t="shared" si="4"/>
        <v>20</v>
      </c>
      <c r="AA138" s="7">
        <f t="shared" si="4"/>
        <v>0.7</v>
      </c>
      <c r="AB138" s="7">
        <f t="shared" si="4"/>
        <v>0</v>
      </c>
      <c r="AC138" s="7">
        <f t="shared" si="4"/>
        <v>2.5</v>
      </c>
      <c r="AD138" s="7">
        <f t="shared" si="4"/>
        <v>34.700000000000003</v>
      </c>
      <c r="AE138" s="7">
        <f t="shared" si="4"/>
        <v>1.5</v>
      </c>
      <c r="AF138" s="7">
        <f t="shared" si="4"/>
        <v>0</v>
      </c>
      <c r="AG138" s="7">
        <f t="shared" si="4"/>
        <v>3.6200000000000006</v>
      </c>
    </row>
    <row r="140" spans="1:33" s="87" customFormat="1" ht="10.5" customHeight="1" x14ac:dyDescent="0.25">
      <c r="A140" s="131" t="s">
        <v>83</v>
      </c>
      <c r="B140" s="132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</row>
    <row r="142" spans="1:33" s="88" customFormat="1" ht="10.5" customHeight="1" x14ac:dyDescent="0.3">
      <c r="A142" s="5">
        <v>7</v>
      </c>
      <c r="B142" s="5" t="s">
        <v>35</v>
      </c>
      <c r="C142" s="5">
        <v>8</v>
      </c>
      <c r="D142" s="5"/>
      <c r="E142" s="5"/>
      <c r="F142" s="5"/>
      <c r="G142" s="5">
        <v>8</v>
      </c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</row>
    <row r="143" spans="1:33" s="88" customFormat="1" ht="11.25" customHeight="1" x14ac:dyDescent="0.3">
      <c r="A143" s="5"/>
      <c r="B143" s="5" t="s">
        <v>169</v>
      </c>
      <c r="C143" s="5">
        <v>40</v>
      </c>
      <c r="D143" s="5"/>
      <c r="E143" s="5"/>
      <c r="F143" s="5"/>
      <c r="G143" s="5"/>
      <c r="H143" s="5"/>
      <c r="I143" s="5"/>
      <c r="J143" s="5"/>
      <c r="K143" s="5"/>
      <c r="L143" s="5">
        <v>40</v>
      </c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</row>
    <row r="144" spans="1:33" s="88" customFormat="1" ht="10.5" customHeight="1" x14ac:dyDescent="0.3">
      <c r="A144" s="5">
        <v>212</v>
      </c>
      <c r="B144" s="5" t="s">
        <v>103</v>
      </c>
      <c r="C144" s="5">
        <v>100</v>
      </c>
      <c r="D144" s="5"/>
      <c r="E144" s="5">
        <v>30</v>
      </c>
      <c r="F144" s="5">
        <v>2</v>
      </c>
      <c r="G144" s="5"/>
      <c r="H144" s="5"/>
      <c r="I144" s="5"/>
      <c r="J144" s="5"/>
      <c r="K144" s="5"/>
      <c r="L144" s="5">
        <v>3.6</v>
      </c>
      <c r="M144" s="5"/>
      <c r="N144" s="5"/>
      <c r="O144" s="5"/>
      <c r="P144" s="5"/>
      <c r="Q144" s="5"/>
      <c r="R144" s="5"/>
      <c r="S144" s="5">
        <v>1.4</v>
      </c>
      <c r="T144" s="5"/>
      <c r="U144" s="5"/>
      <c r="V144" s="5">
        <v>24</v>
      </c>
      <c r="W144" s="5"/>
      <c r="X144" s="5"/>
      <c r="Y144" s="5">
        <v>1.5</v>
      </c>
      <c r="Z144" s="5"/>
      <c r="AA144" s="5"/>
      <c r="AB144" s="5"/>
      <c r="AC144" s="5"/>
      <c r="AD144" s="5">
        <v>5</v>
      </c>
      <c r="AE144" s="5"/>
      <c r="AF144" s="5"/>
      <c r="AG144" s="5">
        <v>0.5</v>
      </c>
    </row>
    <row r="145" spans="1:33" s="88" customFormat="1" ht="10.5" customHeight="1" x14ac:dyDescent="0.3">
      <c r="A145" s="5">
        <v>397</v>
      </c>
      <c r="B145" s="5" t="s">
        <v>44</v>
      </c>
      <c r="C145" s="5">
        <v>180</v>
      </c>
      <c r="D145" s="5">
        <v>110</v>
      </c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>
        <v>1.65</v>
      </c>
      <c r="AC145" s="5"/>
      <c r="AD145" s="5">
        <v>7</v>
      </c>
      <c r="AE145" s="5"/>
      <c r="AF145" s="5"/>
      <c r="AG145" s="5"/>
    </row>
    <row r="146" spans="1:33" s="88" customFormat="1" ht="10.5" customHeight="1" x14ac:dyDescent="0.3">
      <c r="A146" s="5">
        <v>368</v>
      </c>
      <c r="B146" s="5" t="s">
        <v>170</v>
      </c>
      <c r="C146" s="5">
        <v>95</v>
      </c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>
        <v>95</v>
      </c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</row>
    <row r="147" spans="1:33" s="88" customFormat="1" ht="10.5" customHeight="1" x14ac:dyDescent="0.3">
      <c r="A147" s="5"/>
      <c r="B147" s="5" t="s">
        <v>32</v>
      </c>
      <c r="C147" s="5">
        <v>30</v>
      </c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>
        <v>30</v>
      </c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</row>
    <row r="149" spans="1:33" ht="10.5" customHeight="1" x14ac:dyDescent="0.2">
      <c r="C149" s="72"/>
    </row>
    <row r="150" spans="1:33" s="88" customFormat="1" ht="12" customHeight="1" x14ac:dyDescent="0.3">
      <c r="A150" s="5">
        <v>399</v>
      </c>
      <c r="B150" s="5" t="s">
        <v>129</v>
      </c>
      <c r="C150" s="5">
        <v>180</v>
      </c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>
        <v>180</v>
      </c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</row>
    <row r="151" spans="1:33" s="88" customFormat="1" ht="12" customHeight="1" x14ac:dyDescent="0.3">
      <c r="A151" s="5"/>
      <c r="B151" s="5" t="s">
        <v>145</v>
      </c>
      <c r="C151" s="5">
        <v>20</v>
      </c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>
        <v>20</v>
      </c>
      <c r="AA151" s="5"/>
      <c r="AB151" s="5"/>
      <c r="AC151" s="5"/>
      <c r="AD151" s="5"/>
      <c r="AE151" s="5"/>
      <c r="AF151" s="5"/>
      <c r="AG151" s="5"/>
    </row>
    <row r="153" spans="1:33" ht="10.5" customHeight="1" x14ac:dyDescent="0.2">
      <c r="A153" s="5" t="s">
        <v>47</v>
      </c>
      <c r="B153" s="5" t="s">
        <v>135</v>
      </c>
      <c r="C153" s="5">
        <v>40</v>
      </c>
      <c r="N153" s="5">
        <v>40</v>
      </c>
    </row>
    <row r="154" spans="1:33" ht="10.5" customHeight="1" x14ac:dyDescent="0.2">
      <c r="A154" s="5">
        <v>85</v>
      </c>
      <c r="B154" s="5" t="s">
        <v>102</v>
      </c>
      <c r="C154" s="5">
        <v>150</v>
      </c>
      <c r="D154" s="5">
        <f>12.08*150/250</f>
        <v>7.2480000000000002</v>
      </c>
      <c r="L154" s="5">
        <f>2.2*150/250</f>
        <v>1.32</v>
      </c>
      <c r="M154" s="5">
        <f>50*150/250</f>
        <v>30</v>
      </c>
      <c r="N154" s="5">
        <f>20*150/250</f>
        <v>12</v>
      </c>
      <c r="W154" s="5">
        <f>7.7*150/250</f>
        <v>4.62</v>
      </c>
      <c r="X154" s="5">
        <f>0.88*150/250</f>
        <v>0.52800000000000002</v>
      </c>
      <c r="Y154" s="5">
        <f>2.5*150/250</f>
        <v>1.5</v>
      </c>
      <c r="AG154" s="5">
        <v>0.375</v>
      </c>
    </row>
    <row r="155" spans="1:33" ht="10.5" customHeight="1" x14ac:dyDescent="0.2">
      <c r="A155" s="5">
        <v>309</v>
      </c>
      <c r="B155" s="5" t="s">
        <v>91</v>
      </c>
      <c r="C155" s="5">
        <v>60</v>
      </c>
      <c r="D155" s="5">
        <v>13</v>
      </c>
      <c r="I155" s="5">
        <v>37</v>
      </c>
      <c r="L155" s="5">
        <v>5</v>
      </c>
      <c r="N155" s="5">
        <v>10</v>
      </c>
      <c r="T155" s="5">
        <v>8</v>
      </c>
      <c r="X155" s="5">
        <v>3.3</v>
      </c>
      <c r="AG155" s="5">
        <v>0.8</v>
      </c>
    </row>
    <row r="156" spans="1:33" s="88" customFormat="1" ht="11.25" customHeight="1" x14ac:dyDescent="0.3">
      <c r="A156" s="5">
        <v>337</v>
      </c>
      <c r="B156" s="5" t="s">
        <v>171</v>
      </c>
      <c r="C156" s="5">
        <v>100</v>
      </c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>
        <v>134</v>
      </c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>
        <v>3.6</v>
      </c>
      <c r="Z156" s="5"/>
      <c r="AA156" s="5"/>
      <c r="AB156" s="5"/>
      <c r="AC156" s="5"/>
      <c r="AD156" s="5">
        <v>2</v>
      </c>
      <c r="AE156" s="5"/>
      <c r="AF156" s="5"/>
      <c r="AG156" s="5">
        <v>0.5</v>
      </c>
    </row>
    <row r="157" spans="1:33" s="88" customFormat="1" ht="11.25" customHeight="1" x14ac:dyDescent="0.3">
      <c r="A157" s="5"/>
      <c r="B157" s="5" t="s">
        <v>187</v>
      </c>
      <c r="C157" s="5">
        <v>150</v>
      </c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>
        <v>100</v>
      </c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>
        <v>5</v>
      </c>
      <c r="AE157" s="5"/>
      <c r="AF157" s="5">
        <v>5</v>
      </c>
      <c r="AG157" s="5"/>
    </row>
    <row r="158" spans="1:33" s="88" customFormat="1" ht="11.25" customHeight="1" x14ac:dyDescent="0.3">
      <c r="A158" s="5"/>
      <c r="B158" s="5" t="s">
        <v>32</v>
      </c>
      <c r="C158" s="5">
        <v>25</v>
      </c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>
        <v>25</v>
      </c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</row>
    <row r="159" spans="1:33" s="88" customFormat="1" ht="11.25" customHeight="1" x14ac:dyDescent="0.3">
      <c r="A159" s="5"/>
      <c r="B159" s="5" t="s">
        <v>146</v>
      </c>
      <c r="C159" s="5">
        <v>20</v>
      </c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>
        <v>20</v>
      </c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</row>
    <row r="160" spans="1:33" ht="10.5" customHeight="1" x14ac:dyDescent="0.2">
      <c r="C160" s="72"/>
    </row>
    <row r="161" spans="1:34" s="88" customFormat="1" ht="11.25" customHeight="1" x14ac:dyDescent="0.3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</row>
    <row r="162" spans="1:34" s="88" customFormat="1" ht="11.25" customHeight="1" x14ac:dyDescent="0.3">
      <c r="A162" s="5">
        <v>245</v>
      </c>
      <c r="B162" s="5" t="s">
        <v>172</v>
      </c>
      <c r="C162" s="5">
        <v>80</v>
      </c>
      <c r="D162" s="5"/>
      <c r="E162" s="5"/>
      <c r="F162" s="5"/>
      <c r="G162" s="5"/>
      <c r="H162" s="5"/>
      <c r="I162" s="5"/>
      <c r="J162" s="5">
        <v>98</v>
      </c>
      <c r="K162" s="5"/>
      <c r="L162" s="5"/>
      <c r="M162" s="5"/>
      <c r="N162" s="5">
        <v>2.25</v>
      </c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>
        <v>0.4</v>
      </c>
    </row>
    <row r="163" spans="1:34" s="88" customFormat="1" ht="12.75" customHeight="1" x14ac:dyDescent="0.3">
      <c r="A163" s="5">
        <v>321</v>
      </c>
      <c r="B163" s="5" t="s">
        <v>40</v>
      </c>
      <c r="C163" s="5">
        <v>120</v>
      </c>
      <c r="D163" s="5">
        <v>18</v>
      </c>
      <c r="E163" s="5"/>
      <c r="F163" s="5"/>
      <c r="G163" s="5"/>
      <c r="H163" s="5"/>
      <c r="I163" s="5"/>
      <c r="J163" s="5"/>
      <c r="K163" s="5"/>
      <c r="L163" s="5"/>
      <c r="M163" s="5">
        <v>103.2</v>
      </c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>
        <v>4</v>
      </c>
      <c r="Y163" s="5"/>
      <c r="Z163" s="5"/>
      <c r="AA163" s="5"/>
      <c r="AB163" s="5"/>
      <c r="AC163" s="5"/>
      <c r="AD163" s="5"/>
      <c r="AE163" s="5"/>
      <c r="AF163" s="5"/>
      <c r="AG163" s="5">
        <v>0.6</v>
      </c>
    </row>
    <row r="164" spans="1:34" s="88" customFormat="1" ht="11.25" customHeight="1" x14ac:dyDescent="0.3">
      <c r="A164" s="5">
        <v>490</v>
      </c>
      <c r="B164" s="5" t="s">
        <v>95</v>
      </c>
      <c r="C164" s="5">
        <v>25</v>
      </c>
      <c r="D164" s="5">
        <v>1.02</v>
      </c>
      <c r="E164" s="5"/>
      <c r="F164" s="5"/>
      <c r="G164" s="5"/>
      <c r="H164" s="5"/>
      <c r="I164" s="5"/>
      <c r="J164" s="5"/>
      <c r="K164" s="5"/>
      <c r="L164" s="5">
        <v>5</v>
      </c>
      <c r="M164" s="5"/>
      <c r="N164" s="5"/>
      <c r="O164" s="5"/>
      <c r="P164" s="5">
        <v>1.85</v>
      </c>
      <c r="Q164" s="5"/>
      <c r="R164" s="5"/>
      <c r="S164" s="5"/>
      <c r="T164" s="5"/>
      <c r="U164" s="5"/>
      <c r="V164" s="5"/>
      <c r="W164" s="5">
        <v>8.1</v>
      </c>
      <c r="X164" s="5">
        <v>4.95</v>
      </c>
      <c r="Y164" s="5"/>
      <c r="Z164" s="5"/>
      <c r="AA164" s="5"/>
      <c r="AB164" s="5"/>
      <c r="AC164" s="5"/>
      <c r="AD164" s="5">
        <v>6.65</v>
      </c>
      <c r="AE164" s="5"/>
      <c r="AF164" s="5">
        <v>1.55</v>
      </c>
      <c r="AG164" s="5">
        <v>0.08</v>
      </c>
    </row>
    <row r="165" spans="1:34" s="88" customFormat="1" ht="11.25" customHeight="1" x14ac:dyDescent="0.3">
      <c r="A165" s="5">
        <v>400</v>
      </c>
      <c r="B165" s="5" t="s">
        <v>153</v>
      </c>
      <c r="C165" s="5">
        <v>180</v>
      </c>
      <c r="D165" s="5">
        <v>180</v>
      </c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</row>
    <row r="166" spans="1:34" s="88" customFormat="1" ht="11.25" customHeight="1" x14ac:dyDescent="0.3">
      <c r="A166" s="5"/>
      <c r="B166" s="5" t="s">
        <v>146</v>
      </c>
      <c r="C166" s="5">
        <v>20</v>
      </c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>
        <v>20</v>
      </c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</row>
    <row r="167" spans="1:34" ht="10.5" customHeight="1" x14ac:dyDescent="0.2">
      <c r="C167" s="72"/>
    </row>
    <row r="168" spans="1:34" s="90" customFormat="1" ht="10.5" customHeight="1" x14ac:dyDescent="0.2">
      <c r="A168" s="7"/>
      <c r="B168" s="8" t="s">
        <v>84</v>
      </c>
      <c r="C168" s="7"/>
      <c r="D168" s="7">
        <f t="shared" ref="D168:S168" si="5">SUM(D141:D166)</f>
        <v>329.26800000000003</v>
      </c>
      <c r="E168" s="7">
        <f t="shared" si="5"/>
        <v>30</v>
      </c>
      <c r="F168" s="7">
        <f t="shared" si="5"/>
        <v>2</v>
      </c>
      <c r="G168" s="7">
        <f t="shared" si="5"/>
        <v>8</v>
      </c>
      <c r="H168" s="7">
        <f t="shared" si="5"/>
        <v>0</v>
      </c>
      <c r="I168" s="7">
        <f t="shared" si="5"/>
        <v>37</v>
      </c>
      <c r="J168" s="7">
        <f t="shared" si="5"/>
        <v>98</v>
      </c>
      <c r="K168" s="7">
        <f t="shared" si="5"/>
        <v>0</v>
      </c>
      <c r="L168" s="7">
        <f t="shared" si="5"/>
        <v>54.92</v>
      </c>
      <c r="M168" s="7">
        <f t="shared" si="5"/>
        <v>133.19999999999999</v>
      </c>
      <c r="N168" s="7">
        <f t="shared" si="5"/>
        <v>198.25</v>
      </c>
      <c r="O168" s="7">
        <f t="shared" si="5"/>
        <v>95</v>
      </c>
      <c r="P168" s="7">
        <f t="shared" si="5"/>
        <v>1.85</v>
      </c>
      <c r="Q168" s="7">
        <f t="shared" si="5"/>
        <v>280</v>
      </c>
      <c r="R168" s="7">
        <f t="shared" si="5"/>
        <v>0</v>
      </c>
      <c r="S168" s="7">
        <f t="shared" si="5"/>
        <v>41.4</v>
      </c>
      <c r="T168" s="7">
        <f t="shared" ref="T168:AG168" si="6">SUM(T141:T165)</f>
        <v>63</v>
      </c>
      <c r="U168" s="7">
        <f t="shared" si="6"/>
        <v>0</v>
      </c>
      <c r="V168" s="7">
        <f t="shared" si="6"/>
        <v>24</v>
      </c>
      <c r="W168" s="7">
        <f t="shared" si="6"/>
        <v>12.719999999999999</v>
      </c>
      <c r="X168" s="7">
        <f t="shared" si="6"/>
        <v>12.777999999999999</v>
      </c>
      <c r="Y168" s="7">
        <f t="shared" si="6"/>
        <v>6.6</v>
      </c>
      <c r="Z168" s="7">
        <f t="shared" si="6"/>
        <v>20</v>
      </c>
      <c r="AA168" s="7">
        <f t="shared" si="6"/>
        <v>0</v>
      </c>
      <c r="AB168" s="7">
        <f t="shared" si="6"/>
        <v>1.65</v>
      </c>
      <c r="AC168" s="7">
        <f t="shared" si="6"/>
        <v>0</v>
      </c>
      <c r="AD168" s="7">
        <f t="shared" si="6"/>
        <v>25.65</v>
      </c>
      <c r="AE168" s="7">
        <f t="shared" si="6"/>
        <v>0</v>
      </c>
      <c r="AF168" s="7">
        <f t="shared" si="6"/>
        <v>6.55</v>
      </c>
      <c r="AG168" s="7">
        <f t="shared" si="6"/>
        <v>3.2549999999999999</v>
      </c>
    </row>
    <row r="169" spans="1:34" s="95" customFormat="1" ht="10.5" customHeight="1" x14ac:dyDescent="0.2">
      <c r="A169" s="13"/>
      <c r="B169" s="8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</row>
    <row r="170" spans="1:34" s="96" customFormat="1" ht="10.5" customHeight="1" x14ac:dyDescent="0.25">
      <c r="A170" s="131" t="s">
        <v>85</v>
      </c>
      <c r="B170" s="132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</row>
    <row r="171" spans="1:34" s="88" customFormat="1" ht="11.25" customHeight="1" x14ac:dyDescent="0.3">
      <c r="A171" s="5">
        <v>3</v>
      </c>
      <c r="B171" s="5" t="s">
        <v>173</v>
      </c>
      <c r="C171" s="5">
        <v>35</v>
      </c>
      <c r="D171" s="5"/>
      <c r="E171" s="5"/>
      <c r="F171" s="5"/>
      <c r="G171" s="5">
        <v>9</v>
      </c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>
        <v>20</v>
      </c>
      <c r="U171" s="5"/>
      <c r="V171" s="5"/>
      <c r="W171" s="5"/>
      <c r="X171" s="5">
        <v>6</v>
      </c>
      <c r="Y171" s="5"/>
      <c r="Z171" s="5"/>
      <c r="AA171" s="5"/>
      <c r="AB171" s="5"/>
      <c r="AC171" s="5"/>
      <c r="AD171" s="5"/>
      <c r="AE171" s="5"/>
      <c r="AF171" s="5"/>
      <c r="AG171" s="5"/>
    </row>
    <row r="172" spans="1:34" s="88" customFormat="1" ht="11.25" customHeight="1" x14ac:dyDescent="0.3">
      <c r="A172" s="5">
        <v>185</v>
      </c>
      <c r="B172" s="5" t="s">
        <v>101</v>
      </c>
      <c r="C172" s="5">
        <v>180</v>
      </c>
      <c r="D172" s="5">
        <v>146.30000000000001</v>
      </c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>
        <v>34.799999999999997</v>
      </c>
      <c r="V172" s="5"/>
      <c r="W172" s="5"/>
      <c r="X172" s="5"/>
      <c r="Y172" s="5"/>
      <c r="Z172" s="5"/>
      <c r="AA172" s="5"/>
      <c r="AB172" s="5"/>
      <c r="AC172" s="5"/>
      <c r="AD172" s="5">
        <v>5</v>
      </c>
      <c r="AE172" s="5"/>
      <c r="AF172" s="5"/>
      <c r="AG172" s="5">
        <v>0.3</v>
      </c>
    </row>
    <row r="173" spans="1:34" s="88" customFormat="1" ht="11.25" customHeight="1" x14ac:dyDescent="0.3">
      <c r="A173" s="5">
        <v>215</v>
      </c>
      <c r="B173" s="5" t="s">
        <v>139</v>
      </c>
      <c r="C173" s="5">
        <v>75</v>
      </c>
      <c r="D173" s="5">
        <v>20.329999999999998</v>
      </c>
      <c r="E173" s="5"/>
      <c r="F173" s="5"/>
      <c r="G173" s="5"/>
      <c r="H173" s="5"/>
      <c r="I173" s="5"/>
      <c r="J173" s="5"/>
      <c r="K173" s="5"/>
      <c r="L173" s="5">
        <v>53</v>
      </c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>
        <v>3</v>
      </c>
      <c r="Y173" s="5"/>
      <c r="Z173" s="5"/>
      <c r="AA173" s="5"/>
      <c r="AB173" s="5"/>
      <c r="AC173" s="5"/>
      <c r="AD173" s="5"/>
      <c r="AE173" s="5"/>
      <c r="AF173" s="5"/>
      <c r="AG173" s="5">
        <v>0.1</v>
      </c>
    </row>
    <row r="174" spans="1:34" s="88" customFormat="1" ht="11.25" customHeight="1" x14ac:dyDescent="0.3">
      <c r="A174" s="5">
        <v>395</v>
      </c>
      <c r="B174" s="5" t="s">
        <v>142</v>
      </c>
      <c r="C174" s="5">
        <v>150</v>
      </c>
      <c r="D174" s="5">
        <v>75</v>
      </c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>
        <v>2.5</v>
      </c>
      <c r="AD174" s="5">
        <v>4</v>
      </c>
      <c r="AE174" s="5"/>
      <c r="AF174" s="5"/>
      <c r="AG174" s="5"/>
    </row>
    <row r="176" spans="1:34" s="5" customFormat="1" ht="10.5" customHeight="1" x14ac:dyDescent="0.2"/>
    <row r="177" spans="1:33" s="5" customFormat="1" ht="10.5" customHeight="1" x14ac:dyDescent="0.2"/>
    <row r="178" spans="1:33" s="88" customFormat="1" ht="11.25" customHeight="1" x14ac:dyDescent="0.3">
      <c r="A178" s="79"/>
      <c r="B178" s="79" t="s">
        <v>174</v>
      </c>
      <c r="C178" s="79">
        <v>95</v>
      </c>
      <c r="D178" s="79"/>
      <c r="E178" s="79"/>
      <c r="F178" s="79"/>
      <c r="G178" s="79"/>
      <c r="H178" s="79"/>
      <c r="I178" s="79"/>
      <c r="J178" s="79"/>
      <c r="K178" s="79"/>
      <c r="L178" s="79"/>
      <c r="M178" s="79"/>
      <c r="N178" s="79"/>
      <c r="O178" s="79">
        <v>95</v>
      </c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79"/>
      <c r="AD178" s="79"/>
      <c r="AE178" s="79"/>
      <c r="AF178" s="79"/>
      <c r="AG178" s="79"/>
    </row>
    <row r="180" spans="1:33" ht="10.5" customHeight="1" x14ac:dyDescent="0.2">
      <c r="B180" s="80"/>
    </row>
    <row r="181" spans="1:33" s="88" customFormat="1" ht="12.75" customHeight="1" x14ac:dyDescent="0.3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</row>
    <row r="182" spans="1:33" s="88" customFormat="1" ht="12.75" customHeight="1" x14ac:dyDescent="0.3">
      <c r="A182" s="81">
        <v>84</v>
      </c>
      <c r="B182" s="22" t="s">
        <v>191</v>
      </c>
      <c r="C182" s="81">
        <v>180</v>
      </c>
      <c r="D182" s="22"/>
      <c r="E182" s="22"/>
      <c r="F182" s="22"/>
      <c r="G182" s="22"/>
      <c r="H182" s="22"/>
      <c r="I182" s="22"/>
      <c r="J182" s="22">
        <v>28.2</v>
      </c>
      <c r="K182" s="22"/>
      <c r="L182" s="22">
        <v>1.6</v>
      </c>
      <c r="M182" s="22">
        <v>72</v>
      </c>
      <c r="N182" s="22">
        <v>24.3</v>
      </c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>
        <v>1.8</v>
      </c>
      <c r="Z182" s="22"/>
      <c r="AA182" s="22"/>
      <c r="AB182" s="22"/>
      <c r="AC182" s="22"/>
      <c r="AD182" s="22"/>
      <c r="AE182" s="22"/>
      <c r="AF182" s="22"/>
      <c r="AG182" s="22">
        <v>1</v>
      </c>
    </row>
    <row r="183" spans="1:33" s="88" customFormat="1" ht="12.75" customHeight="1" x14ac:dyDescent="0.3">
      <c r="A183" s="5">
        <v>6</v>
      </c>
      <c r="B183" s="5" t="s">
        <v>192</v>
      </c>
      <c r="C183" s="5">
        <v>60</v>
      </c>
      <c r="D183" s="5">
        <v>27.5</v>
      </c>
      <c r="E183" s="5"/>
      <c r="F183" s="5"/>
      <c r="G183" s="5">
        <v>5</v>
      </c>
      <c r="H183" s="5"/>
      <c r="I183" s="5">
        <v>42</v>
      </c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>
        <v>11</v>
      </c>
      <c r="U183" s="5"/>
      <c r="V183" s="5"/>
      <c r="W183" s="5">
        <v>2.75</v>
      </c>
      <c r="X183" s="5">
        <v>8.75</v>
      </c>
      <c r="Y183" s="5"/>
      <c r="Z183" s="5"/>
      <c r="AA183" s="5"/>
      <c r="AB183" s="5"/>
      <c r="AC183" s="5"/>
      <c r="AD183" s="5"/>
      <c r="AE183" s="5"/>
      <c r="AF183" s="5"/>
      <c r="AG183" s="5">
        <v>0.5</v>
      </c>
    </row>
    <row r="184" spans="1:33" s="88" customFormat="1" ht="12.75" customHeight="1" x14ac:dyDescent="0.3">
      <c r="A184" s="5">
        <v>322</v>
      </c>
      <c r="B184" s="5" t="s">
        <v>93</v>
      </c>
      <c r="C184" s="5">
        <v>110</v>
      </c>
      <c r="D184" s="5">
        <v>16.5</v>
      </c>
      <c r="E184" s="5"/>
      <c r="F184" s="5"/>
      <c r="G184" s="5"/>
      <c r="H184" s="5"/>
      <c r="I184" s="5"/>
      <c r="J184" s="5"/>
      <c r="K184" s="5"/>
      <c r="L184" s="5"/>
      <c r="M184" s="5">
        <v>75.900000000000006</v>
      </c>
      <c r="N184" s="5">
        <v>22.9</v>
      </c>
      <c r="O184" s="5"/>
      <c r="P184" s="5"/>
      <c r="Q184" s="5"/>
      <c r="R184" s="5"/>
      <c r="S184" s="5"/>
      <c r="T184" s="5"/>
      <c r="U184" s="5"/>
      <c r="V184" s="5"/>
      <c r="W184" s="5"/>
      <c r="X184" s="5">
        <v>3.85</v>
      </c>
      <c r="Y184" s="5"/>
      <c r="Z184" s="5"/>
      <c r="AA184" s="5"/>
      <c r="AB184" s="5"/>
      <c r="AC184" s="5"/>
      <c r="AD184" s="5"/>
      <c r="AE184" s="5"/>
      <c r="AF184" s="5"/>
      <c r="AG184" s="5">
        <v>0.55000000000000004</v>
      </c>
    </row>
    <row r="185" spans="1:33" s="88" customFormat="1" ht="12.75" customHeight="1" x14ac:dyDescent="0.3">
      <c r="A185" s="5">
        <v>372</v>
      </c>
      <c r="B185" s="5" t="s">
        <v>137</v>
      </c>
      <c r="C185" s="5">
        <v>180</v>
      </c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>
        <v>36</v>
      </c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>
        <v>5</v>
      </c>
      <c r="AE185" s="5"/>
      <c r="AF185" s="5"/>
      <c r="AG185" s="5"/>
    </row>
    <row r="186" spans="1:33" s="88" customFormat="1" ht="12.75" customHeight="1" x14ac:dyDescent="0.3">
      <c r="A186" s="5"/>
      <c r="B186" s="5" t="s">
        <v>146</v>
      </c>
      <c r="C186" s="5">
        <v>40</v>
      </c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>
        <v>40</v>
      </c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</row>
    <row r="188" spans="1:33" s="88" customFormat="1" ht="11.25" customHeight="1" x14ac:dyDescent="0.3">
      <c r="A188" s="5" t="s">
        <v>47</v>
      </c>
      <c r="B188" s="5" t="s">
        <v>125</v>
      </c>
      <c r="C188" s="5">
        <v>30</v>
      </c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>
        <v>30</v>
      </c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</row>
    <row r="189" spans="1:33" s="88" customFormat="1" ht="11.25" customHeight="1" x14ac:dyDescent="0.3">
      <c r="A189" s="5">
        <v>288</v>
      </c>
      <c r="B189" s="82" t="s">
        <v>175</v>
      </c>
      <c r="C189" s="5">
        <v>60</v>
      </c>
      <c r="D189" s="5">
        <v>12</v>
      </c>
      <c r="E189" s="5"/>
      <c r="F189" s="5"/>
      <c r="G189" s="5"/>
      <c r="H189" s="5">
        <v>45.8</v>
      </c>
      <c r="I189" s="5"/>
      <c r="J189" s="5"/>
      <c r="K189" s="5"/>
      <c r="L189" s="5"/>
      <c r="M189" s="5"/>
      <c r="N189" s="5">
        <v>3.7</v>
      </c>
      <c r="O189" s="5"/>
      <c r="P189" s="5"/>
      <c r="Q189" s="5"/>
      <c r="R189" s="5"/>
      <c r="S189" s="5"/>
      <c r="T189" s="5">
        <v>9</v>
      </c>
      <c r="U189" s="5"/>
      <c r="V189" s="5"/>
      <c r="W189" s="5"/>
      <c r="X189" s="5">
        <v>3</v>
      </c>
      <c r="Y189" s="5"/>
      <c r="Z189" s="5"/>
      <c r="AA189" s="5"/>
      <c r="AB189" s="5"/>
      <c r="AC189" s="5"/>
      <c r="AD189" s="5"/>
      <c r="AE189" s="5"/>
      <c r="AF189" s="5"/>
      <c r="AG189" s="5">
        <v>1</v>
      </c>
    </row>
    <row r="190" spans="1:33" s="88" customFormat="1" ht="11.25" customHeight="1" x14ac:dyDescent="0.3">
      <c r="A190" s="5">
        <v>355</v>
      </c>
      <c r="B190" s="82" t="s">
        <v>176</v>
      </c>
      <c r="C190" s="5">
        <v>30</v>
      </c>
      <c r="D190" s="5"/>
      <c r="E190" s="5"/>
      <c r="F190" s="5">
        <v>7.5</v>
      </c>
      <c r="G190" s="5"/>
      <c r="H190" s="5"/>
      <c r="I190" s="5"/>
      <c r="J190" s="5"/>
      <c r="K190" s="5"/>
      <c r="L190" s="5"/>
      <c r="M190" s="5"/>
      <c r="N190" s="5">
        <v>1.2</v>
      </c>
      <c r="O190" s="5"/>
      <c r="P190" s="5"/>
      <c r="Q190" s="5"/>
      <c r="R190" s="5"/>
      <c r="S190" s="5"/>
      <c r="T190" s="5"/>
      <c r="U190" s="5"/>
      <c r="V190" s="5"/>
      <c r="W190" s="5">
        <v>2.25</v>
      </c>
      <c r="X190" s="5"/>
      <c r="Y190" s="5"/>
      <c r="Z190" s="5"/>
      <c r="AA190" s="5"/>
      <c r="AB190" s="5"/>
      <c r="AC190" s="5"/>
      <c r="AD190" s="5"/>
      <c r="AE190" s="5"/>
      <c r="AF190" s="5"/>
      <c r="AG190" s="5">
        <v>0.24</v>
      </c>
    </row>
    <row r="191" spans="1:33" s="88" customFormat="1" ht="11.25" customHeight="1" x14ac:dyDescent="0.3">
      <c r="A191" s="5">
        <v>313</v>
      </c>
      <c r="B191" s="5" t="s">
        <v>177</v>
      </c>
      <c r="C191" s="5">
        <v>120</v>
      </c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>
        <v>40</v>
      </c>
      <c r="V191" s="5"/>
      <c r="W191" s="5"/>
      <c r="X191" s="5">
        <v>4</v>
      </c>
      <c r="Y191" s="5"/>
      <c r="Z191" s="5"/>
      <c r="AA191" s="5"/>
      <c r="AB191" s="5"/>
      <c r="AC191" s="5"/>
      <c r="AD191" s="5"/>
      <c r="AE191" s="5"/>
      <c r="AF191" s="5"/>
      <c r="AG191" s="5">
        <v>0.2</v>
      </c>
    </row>
    <row r="192" spans="1:33" s="88" customFormat="1" ht="11.25" customHeight="1" x14ac:dyDescent="0.3">
      <c r="A192" s="5">
        <v>401</v>
      </c>
      <c r="B192" s="5" t="s">
        <v>144</v>
      </c>
      <c r="C192" s="5">
        <v>175</v>
      </c>
      <c r="D192" s="5">
        <v>175</v>
      </c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</row>
    <row r="193" spans="1:33" s="88" customFormat="1" ht="11.25" customHeight="1" x14ac:dyDescent="0.3">
      <c r="A193" s="5">
        <v>473</v>
      </c>
      <c r="B193" s="5" t="s">
        <v>96</v>
      </c>
      <c r="C193" s="5">
        <v>25</v>
      </c>
      <c r="D193" s="5"/>
      <c r="E193" s="5"/>
      <c r="F193" s="5"/>
      <c r="G193" s="5"/>
      <c r="H193" s="5"/>
      <c r="I193" s="5"/>
      <c r="J193" s="5"/>
      <c r="K193" s="5"/>
      <c r="L193" s="5">
        <v>0.5</v>
      </c>
      <c r="M193" s="5"/>
      <c r="N193" s="5"/>
      <c r="O193" s="5"/>
      <c r="P193" s="5">
        <v>2</v>
      </c>
      <c r="Q193" s="5"/>
      <c r="R193" s="5"/>
      <c r="S193" s="5"/>
      <c r="T193" s="5"/>
      <c r="U193" s="5"/>
      <c r="V193" s="5"/>
      <c r="W193" s="5">
        <v>17.86</v>
      </c>
      <c r="X193" s="5"/>
      <c r="Y193" s="5">
        <v>1.34</v>
      </c>
      <c r="Z193" s="5"/>
      <c r="AA193" s="5"/>
      <c r="AB193" s="5"/>
      <c r="AC193" s="5"/>
      <c r="AD193" s="5">
        <v>1.79</v>
      </c>
      <c r="AE193" s="5">
        <v>1</v>
      </c>
      <c r="AF193" s="5"/>
      <c r="AG193" s="5">
        <v>0.18</v>
      </c>
    </row>
    <row r="194" spans="1:33" s="88" customFormat="1" ht="11.25" customHeight="1" x14ac:dyDescent="0.3">
      <c r="A194" s="5"/>
      <c r="B194" s="5" t="s">
        <v>32</v>
      </c>
      <c r="C194" s="5">
        <v>20</v>
      </c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>
        <v>20</v>
      </c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</row>
    <row r="195" spans="1:33" s="88" customFormat="1" ht="11.25" customHeight="1" x14ac:dyDescent="0.3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</row>
    <row r="196" spans="1:33" s="93" customFormat="1" ht="10.5" customHeight="1" x14ac:dyDescent="0.2">
      <c r="A196" s="7"/>
      <c r="B196" s="8" t="s">
        <v>84</v>
      </c>
      <c r="C196" s="6"/>
      <c r="D196" s="6">
        <f t="shared" ref="D196:S196" si="7">SUM(D171:D193)</f>
        <v>472.63</v>
      </c>
      <c r="E196" s="6">
        <f t="shared" si="7"/>
        <v>0</v>
      </c>
      <c r="F196" s="6">
        <f t="shared" si="7"/>
        <v>7.5</v>
      </c>
      <c r="G196" s="6">
        <f t="shared" si="7"/>
        <v>14</v>
      </c>
      <c r="H196" s="6">
        <f t="shared" si="7"/>
        <v>45.8</v>
      </c>
      <c r="I196" s="6">
        <f t="shared" si="7"/>
        <v>42</v>
      </c>
      <c r="J196" s="6">
        <f t="shared" si="7"/>
        <v>28.2</v>
      </c>
      <c r="K196" s="6">
        <f t="shared" si="7"/>
        <v>0</v>
      </c>
      <c r="L196" s="6">
        <f t="shared" si="7"/>
        <v>55.1</v>
      </c>
      <c r="M196" s="6">
        <f t="shared" si="7"/>
        <v>147.9</v>
      </c>
      <c r="N196" s="6">
        <f t="shared" si="7"/>
        <v>82.100000000000009</v>
      </c>
      <c r="O196" s="6">
        <f t="shared" si="7"/>
        <v>131</v>
      </c>
      <c r="P196" s="6">
        <f t="shared" si="7"/>
        <v>2</v>
      </c>
      <c r="Q196" s="6">
        <f t="shared" si="7"/>
        <v>0</v>
      </c>
      <c r="R196" s="6">
        <f t="shared" si="7"/>
        <v>0</v>
      </c>
      <c r="S196" s="6">
        <f t="shared" si="7"/>
        <v>40</v>
      </c>
      <c r="T196" s="6">
        <f>SUM(T171:T194)</f>
        <v>60</v>
      </c>
      <c r="U196" s="6">
        <f t="shared" ref="U196:AG196" si="8">SUM(U171:U193)</f>
        <v>74.8</v>
      </c>
      <c r="V196" s="6">
        <f t="shared" si="8"/>
        <v>0</v>
      </c>
      <c r="W196" s="6">
        <f t="shared" si="8"/>
        <v>22.86</v>
      </c>
      <c r="X196" s="6">
        <f t="shared" si="8"/>
        <v>28.6</v>
      </c>
      <c r="Y196" s="6">
        <f t="shared" si="8"/>
        <v>3.14</v>
      </c>
      <c r="Z196" s="6">
        <f t="shared" si="8"/>
        <v>0</v>
      </c>
      <c r="AA196" s="6">
        <f t="shared" si="8"/>
        <v>0</v>
      </c>
      <c r="AB196" s="6">
        <f t="shared" si="8"/>
        <v>0</v>
      </c>
      <c r="AC196" s="6">
        <f t="shared" si="8"/>
        <v>2.5</v>
      </c>
      <c r="AD196" s="6">
        <f t="shared" si="8"/>
        <v>15.79</v>
      </c>
      <c r="AE196" s="6">
        <f t="shared" si="8"/>
        <v>1</v>
      </c>
      <c r="AF196" s="6">
        <f t="shared" si="8"/>
        <v>0</v>
      </c>
      <c r="AG196" s="6">
        <f t="shared" si="8"/>
        <v>4.07</v>
      </c>
    </row>
    <row r="197" spans="1:33" ht="10.5" customHeight="1" x14ac:dyDescent="0.2">
      <c r="B197" s="80"/>
    </row>
    <row r="198" spans="1:33" s="87" customFormat="1" ht="10.5" customHeight="1" x14ac:dyDescent="0.25">
      <c r="A198" s="131" t="s">
        <v>86</v>
      </c>
      <c r="B198" s="132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</row>
    <row r="199" spans="1:33" s="88" customFormat="1" ht="11.25" customHeight="1" x14ac:dyDescent="0.3">
      <c r="A199" s="10">
        <v>7</v>
      </c>
      <c r="B199" s="5" t="s">
        <v>35</v>
      </c>
      <c r="C199" s="5">
        <v>10</v>
      </c>
      <c r="D199" s="5"/>
      <c r="E199" s="5"/>
      <c r="F199" s="5"/>
      <c r="G199" s="5">
        <v>10</v>
      </c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</row>
    <row r="200" spans="1:33" s="88" customFormat="1" ht="11.25" customHeight="1" x14ac:dyDescent="0.3">
      <c r="A200" s="5">
        <v>185</v>
      </c>
      <c r="B200" s="5" t="s">
        <v>178</v>
      </c>
      <c r="C200" s="5">
        <v>180</v>
      </c>
      <c r="D200" s="5">
        <v>158</v>
      </c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>
        <v>20.7</v>
      </c>
      <c r="V200" s="5"/>
      <c r="W200" s="5"/>
      <c r="X200" s="5"/>
      <c r="Y200" s="5"/>
      <c r="Z200" s="5"/>
      <c r="AA200" s="5"/>
      <c r="AB200" s="5"/>
      <c r="AC200" s="5"/>
      <c r="AD200" s="5">
        <v>5</v>
      </c>
      <c r="AE200" s="5"/>
      <c r="AF200" s="5"/>
      <c r="AG200" s="5">
        <v>0.5</v>
      </c>
    </row>
    <row r="201" spans="1:33" s="88" customFormat="1" ht="11.25" customHeight="1" x14ac:dyDescent="0.3">
      <c r="A201" s="14">
        <v>394</v>
      </c>
      <c r="B201" s="5" t="s">
        <v>163</v>
      </c>
      <c r="C201" s="5">
        <v>160</v>
      </c>
      <c r="D201" s="5">
        <v>80</v>
      </c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>
        <v>0.7</v>
      </c>
      <c r="AB201" s="5"/>
      <c r="AC201" s="5"/>
      <c r="AD201" s="5">
        <v>5</v>
      </c>
      <c r="AE201" s="5"/>
      <c r="AF201" s="5"/>
      <c r="AG201" s="5"/>
    </row>
    <row r="202" spans="1:33" s="88" customFormat="1" ht="11.25" customHeight="1" x14ac:dyDescent="0.3">
      <c r="A202" s="14"/>
      <c r="B202" s="5" t="s">
        <v>32</v>
      </c>
      <c r="C202" s="5">
        <v>25</v>
      </c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>
        <v>25</v>
      </c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</row>
    <row r="203" spans="1:33" ht="10.5" customHeight="1" x14ac:dyDescent="0.2">
      <c r="A203" s="14"/>
    </row>
    <row r="204" spans="1:33" ht="10.5" customHeight="1" x14ac:dyDescent="0.2">
      <c r="A204" s="10"/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  <c r="AF204" s="79"/>
      <c r="AG204" s="79"/>
    </row>
    <row r="205" spans="1:33" s="88" customFormat="1" ht="11.25" customHeight="1" x14ac:dyDescent="0.3">
      <c r="A205" s="5"/>
      <c r="B205" s="5" t="s">
        <v>144</v>
      </c>
      <c r="C205" s="5">
        <v>180</v>
      </c>
      <c r="D205" s="5">
        <v>180</v>
      </c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</row>
    <row r="206" spans="1:33" s="5" customFormat="1" ht="10.5" customHeight="1" x14ac:dyDescent="0.2">
      <c r="A206" s="14"/>
    </row>
    <row r="208" spans="1:33" s="88" customFormat="1" ht="11.25" customHeight="1" x14ac:dyDescent="0.3">
      <c r="A208" s="5">
        <v>38</v>
      </c>
      <c r="B208" s="5" t="s">
        <v>125</v>
      </c>
      <c r="C208" s="5">
        <v>40</v>
      </c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>
        <v>40</v>
      </c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</row>
    <row r="209" spans="1:33" s="88" customFormat="1" ht="11.25" customHeight="1" x14ac:dyDescent="0.3">
      <c r="A209" s="5">
        <v>83</v>
      </c>
      <c r="B209" s="5" t="s">
        <v>193</v>
      </c>
      <c r="C209" s="5">
        <v>180</v>
      </c>
      <c r="D209" s="5"/>
      <c r="E209" s="5"/>
      <c r="F209" s="5"/>
      <c r="G209" s="5"/>
      <c r="H209" s="5">
        <v>57</v>
      </c>
      <c r="I209" s="5"/>
      <c r="J209" s="5"/>
      <c r="K209" s="5"/>
      <c r="L209" s="5">
        <v>4</v>
      </c>
      <c r="M209" s="5">
        <v>72</v>
      </c>
      <c r="N209" s="5">
        <f>29.5</f>
        <v>29.5</v>
      </c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>
        <v>2.7</v>
      </c>
      <c r="Z209" s="5"/>
      <c r="AA209" s="5"/>
      <c r="AB209" s="5"/>
      <c r="AC209" s="5"/>
      <c r="AD209" s="5"/>
      <c r="AE209" s="5"/>
      <c r="AF209" s="5"/>
      <c r="AG209" s="5">
        <v>1</v>
      </c>
    </row>
    <row r="210" spans="1:33" s="88" customFormat="1" ht="11.25" customHeight="1" x14ac:dyDescent="0.3">
      <c r="A210" s="5">
        <v>258</v>
      </c>
      <c r="B210" s="5" t="s">
        <v>116</v>
      </c>
      <c r="C210" s="5">
        <v>60</v>
      </c>
      <c r="D210" s="5">
        <v>4.5</v>
      </c>
      <c r="E210" s="5"/>
      <c r="F210" s="5"/>
      <c r="G210" s="5"/>
      <c r="H210" s="5"/>
      <c r="I210" s="5"/>
      <c r="J210" s="5">
        <v>52.5</v>
      </c>
      <c r="K210" s="5"/>
      <c r="L210" s="5">
        <v>1.5</v>
      </c>
      <c r="M210" s="5"/>
      <c r="N210" s="5">
        <v>9</v>
      </c>
      <c r="O210" s="5"/>
      <c r="P210" s="5"/>
      <c r="Q210" s="5"/>
      <c r="R210" s="5"/>
      <c r="S210" s="5"/>
      <c r="T210" s="5">
        <v>7.5</v>
      </c>
      <c r="U210" s="5"/>
      <c r="V210" s="5"/>
      <c r="W210" s="5"/>
      <c r="X210" s="5">
        <v>2.25</v>
      </c>
      <c r="Y210" s="5">
        <v>2.25</v>
      </c>
      <c r="Z210" s="5"/>
      <c r="AA210" s="5"/>
      <c r="AB210" s="5"/>
      <c r="AC210" s="5"/>
      <c r="AD210" s="5"/>
      <c r="AE210" s="5"/>
      <c r="AF210" s="5"/>
      <c r="AG210" s="5">
        <v>0.7</v>
      </c>
    </row>
    <row r="211" spans="1:33" s="88" customFormat="1" ht="11.25" customHeight="1" x14ac:dyDescent="0.3">
      <c r="A211" s="5">
        <v>342</v>
      </c>
      <c r="B211" s="5" t="s">
        <v>180</v>
      </c>
      <c r="C211" s="5">
        <v>130</v>
      </c>
      <c r="D211" s="5"/>
      <c r="E211" s="5"/>
      <c r="F211" s="5">
        <v>15</v>
      </c>
      <c r="G211" s="5"/>
      <c r="H211" s="5"/>
      <c r="I211" s="5"/>
      <c r="J211" s="5"/>
      <c r="K211" s="5"/>
      <c r="L211" s="5"/>
      <c r="M211" s="5">
        <v>26</v>
      </c>
      <c r="N211" s="5">
        <v>67</v>
      </c>
      <c r="O211" s="5"/>
      <c r="P211" s="5"/>
      <c r="Q211" s="5"/>
      <c r="R211" s="5"/>
      <c r="S211" s="5"/>
      <c r="T211" s="5"/>
      <c r="U211" s="5"/>
      <c r="V211" s="5"/>
      <c r="W211" s="5">
        <v>1.4</v>
      </c>
      <c r="X211" s="5">
        <v>6.7</v>
      </c>
      <c r="Y211" s="5">
        <v>2</v>
      </c>
      <c r="Z211" s="5"/>
      <c r="AA211" s="5"/>
      <c r="AB211" s="5"/>
      <c r="AC211" s="5"/>
      <c r="AD211" s="5"/>
      <c r="AE211" s="5"/>
      <c r="AF211" s="5"/>
      <c r="AG211" s="5">
        <v>0.5</v>
      </c>
    </row>
    <row r="212" spans="1:33" s="88" customFormat="1" ht="11.25" customHeight="1" x14ac:dyDescent="0.3">
      <c r="A212" s="5">
        <v>378</v>
      </c>
      <c r="B212" s="5" t="s">
        <v>179</v>
      </c>
      <c r="C212" s="5">
        <v>180</v>
      </c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>
        <v>36</v>
      </c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>
        <v>5</v>
      </c>
      <c r="AE212" s="5"/>
      <c r="AF212" s="5">
        <v>6</v>
      </c>
      <c r="AG212" s="5"/>
    </row>
    <row r="213" spans="1:33" s="88" customFormat="1" ht="11.25" customHeight="1" x14ac:dyDescent="0.3">
      <c r="A213" s="5"/>
      <c r="B213" s="5" t="s">
        <v>146</v>
      </c>
      <c r="C213" s="5">
        <v>40</v>
      </c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>
        <v>40</v>
      </c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</row>
    <row r="214" spans="1:33" ht="10.5" customHeight="1" x14ac:dyDescent="0.2">
      <c r="C214" s="72"/>
    </row>
    <row r="216" spans="1:33" s="88" customFormat="1" ht="11.25" customHeight="1" x14ac:dyDescent="0.3">
      <c r="A216" s="10" t="s">
        <v>47</v>
      </c>
      <c r="B216" s="10" t="s">
        <v>132</v>
      </c>
      <c r="C216" s="10">
        <v>30</v>
      </c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>
        <v>30</v>
      </c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</row>
    <row r="217" spans="1:33" s="88" customFormat="1" ht="11.25" customHeight="1" x14ac:dyDescent="0.3">
      <c r="A217" s="5">
        <v>287</v>
      </c>
      <c r="B217" s="5" t="s">
        <v>130</v>
      </c>
      <c r="C217" s="5">
        <v>60</v>
      </c>
      <c r="D217" s="5"/>
      <c r="E217" s="5"/>
      <c r="F217" s="5">
        <v>6.6</v>
      </c>
      <c r="G217" s="5"/>
      <c r="H217" s="5">
        <v>19.12</v>
      </c>
      <c r="I217" s="5"/>
      <c r="J217" s="5"/>
      <c r="K217" s="5"/>
      <c r="L217" s="5"/>
      <c r="M217" s="5"/>
      <c r="N217" s="5">
        <v>6.67</v>
      </c>
      <c r="O217" s="5"/>
      <c r="P217" s="5"/>
      <c r="Q217" s="5"/>
      <c r="R217" s="5"/>
      <c r="S217" s="5"/>
      <c r="T217" s="5"/>
      <c r="U217" s="5">
        <v>2.62</v>
      </c>
      <c r="V217" s="5"/>
      <c r="W217" s="5">
        <v>3.82</v>
      </c>
      <c r="X217" s="5">
        <v>2.25</v>
      </c>
      <c r="Y217" s="5"/>
      <c r="Z217" s="5"/>
      <c r="AA217" s="5"/>
      <c r="AB217" s="5"/>
      <c r="AC217" s="5"/>
      <c r="AD217" s="5"/>
      <c r="AE217" s="5"/>
      <c r="AF217" s="5"/>
      <c r="AG217" s="5">
        <f>1+0.2</f>
        <v>1.2</v>
      </c>
    </row>
    <row r="218" spans="1:33" s="88" customFormat="1" ht="11.25" customHeight="1" x14ac:dyDescent="0.3">
      <c r="A218" s="5"/>
      <c r="B218" s="5" t="s">
        <v>181</v>
      </c>
      <c r="C218" s="5">
        <v>130</v>
      </c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>
        <v>129.22</v>
      </c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>
        <v>6.5</v>
      </c>
      <c r="Z218" s="5"/>
      <c r="AA218" s="5"/>
      <c r="AB218" s="5"/>
      <c r="AC218" s="5"/>
      <c r="AD218" s="5"/>
      <c r="AE218" s="5"/>
      <c r="AF218" s="5"/>
      <c r="AG218" s="5">
        <v>0.15</v>
      </c>
    </row>
    <row r="219" spans="1:33" s="88" customFormat="1" ht="11.25" customHeight="1" x14ac:dyDescent="0.3">
      <c r="A219" s="10" t="s">
        <v>47</v>
      </c>
      <c r="B219" s="5" t="s">
        <v>129</v>
      </c>
      <c r="C219" s="5">
        <v>180</v>
      </c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>
        <v>180</v>
      </c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  <c r="AF219" s="79"/>
      <c r="AG219" s="79"/>
    </row>
    <row r="220" spans="1:33" s="88" customFormat="1" ht="11.25" customHeight="1" x14ac:dyDescent="0.3">
      <c r="A220" s="5"/>
      <c r="B220" s="5" t="s">
        <v>32</v>
      </c>
      <c r="C220" s="5">
        <v>25</v>
      </c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>
        <v>25</v>
      </c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</row>
    <row r="221" spans="1:33" ht="10.5" customHeight="1" x14ac:dyDescent="0.2">
      <c r="A221" s="5" t="s">
        <v>198</v>
      </c>
      <c r="B221" s="5" t="s">
        <v>195</v>
      </c>
      <c r="C221" s="5">
        <v>30</v>
      </c>
      <c r="L221" s="5">
        <v>0.25</v>
      </c>
      <c r="N221" s="5">
        <v>4</v>
      </c>
      <c r="W221" s="5">
        <v>37.799999999999997</v>
      </c>
      <c r="Y221" s="5">
        <v>1.0900000000000001</v>
      </c>
      <c r="AD221" s="5">
        <v>2</v>
      </c>
      <c r="AE221" s="5">
        <v>1</v>
      </c>
      <c r="AG221" s="5">
        <v>0.35</v>
      </c>
    </row>
    <row r="222" spans="1:33" s="88" customFormat="1" ht="11.25" customHeight="1" x14ac:dyDescent="0.3">
      <c r="A222" s="5">
        <v>368</v>
      </c>
      <c r="B222" s="5" t="s">
        <v>38</v>
      </c>
      <c r="C222" s="5">
        <v>95</v>
      </c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>
        <v>95</v>
      </c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</row>
    <row r="223" spans="1:33" ht="10.5" customHeight="1" x14ac:dyDescent="0.2">
      <c r="C223" s="72"/>
    </row>
    <row r="224" spans="1:33" s="90" customFormat="1" ht="10.5" customHeight="1" x14ac:dyDescent="0.2">
      <c r="A224" s="7"/>
      <c r="B224" s="8" t="s">
        <v>84</v>
      </c>
      <c r="C224" s="7"/>
      <c r="D224" s="7">
        <f t="shared" ref="D224:AG224" si="9">SUM(D199:D223)</f>
        <v>422.5</v>
      </c>
      <c r="E224" s="7">
        <f t="shared" si="9"/>
        <v>0</v>
      </c>
      <c r="F224" s="7">
        <f t="shared" si="9"/>
        <v>21.6</v>
      </c>
      <c r="G224" s="7">
        <f t="shared" si="9"/>
        <v>10</v>
      </c>
      <c r="H224" s="7">
        <f t="shared" si="9"/>
        <v>76.12</v>
      </c>
      <c r="I224" s="7">
        <f t="shared" si="9"/>
        <v>0</v>
      </c>
      <c r="J224" s="7">
        <f t="shared" si="9"/>
        <v>52.5</v>
      </c>
      <c r="K224" s="7">
        <f t="shared" si="9"/>
        <v>0</v>
      </c>
      <c r="L224" s="7">
        <f t="shared" si="9"/>
        <v>5.75</v>
      </c>
      <c r="M224" s="7">
        <f t="shared" si="9"/>
        <v>98</v>
      </c>
      <c r="N224" s="7">
        <f t="shared" si="9"/>
        <v>315.39</v>
      </c>
      <c r="O224" s="7">
        <f t="shared" si="9"/>
        <v>131</v>
      </c>
      <c r="P224" s="7">
        <f t="shared" si="9"/>
        <v>0</v>
      </c>
      <c r="Q224" s="7">
        <f t="shared" si="9"/>
        <v>180</v>
      </c>
      <c r="R224" s="7">
        <f t="shared" si="9"/>
        <v>0</v>
      </c>
      <c r="S224" s="7">
        <f t="shared" si="9"/>
        <v>40</v>
      </c>
      <c r="T224" s="7">
        <f t="shared" si="9"/>
        <v>57.5</v>
      </c>
      <c r="U224" s="7">
        <f t="shared" si="9"/>
        <v>23.32</v>
      </c>
      <c r="V224" s="7">
        <f t="shared" si="9"/>
        <v>0</v>
      </c>
      <c r="W224" s="7">
        <f t="shared" si="9"/>
        <v>43.019999999999996</v>
      </c>
      <c r="X224" s="7">
        <f t="shared" si="9"/>
        <v>11.2</v>
      </c>
      <c r="Y224" s="7">
        <f t="shared" si="9"/>
        <v>14.54</v>
      </c>
      <c r="Z224" s="7">
        <f t="shared" si="9"/>
        <v>0</v>
      </c>
      <c r="AA224" s="7">
        <f t="shared" si="9"/>
        <v>0.7</v>
      </c>
      <c r="AB224" s="7">
        <f t="shared" si="9"/>
        <v>0</v>
      </c>
      <c r="AC224" s="7">
        <f t="shared" si="9"/>
        <v>0</v>
      </c>
      <c r="AD224" s="7">
        <f t="shared" si="9"/>
        <v>17</v>
      </c>
      <c r="AE224" s="7">
        <f t="shared" si="9"/>
        <v>1</v>
      </c>
      <c r="AF224" s="7">
        <f t="shared" si="9"/>
        <v>6</v>
      </c>
      <c r="AG224" s="7">
        <f t="shared" si="9"/>
        <v>4.4000000000000004</v>
      </c>
    </row>
    <row r="225" spans="1:33" s="95" customFormat="1" ht="10.5" customHeight="1" x14ac:dyDescent="0.2">
      <c r="A225" s="13"/>
      <c r="B225" s="8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</row>
    <row r="226" spans="1:33" s="96" customFormat="1" ht="10.5" customHeight="1" x14ac:dyDescent="0.25">
      <c r="A226" s="131" t="s">
        <v>87</v>
      </c>
      <c r="B226" s="132"/>
      <c r="C226" s="71"/>
      <c r="D226" s="71"/>
      <c r="E226" s="71"/>
      <c r="F226" s="71"/>
      <c r="G226" s="71"/>
      <c r="H226" s="71"/>
      <c r="I226" s="71"/>
      <c r="J226" s="71"/>
      <c r="K226" s="71"/>
      <c r="L226" s="71"/>
      <c r="M226" s="71"/>
      <c r="N226" s="71"/>
      <c r="O226" s="71"/>
      <c r="P226" s="71"/>
      <c r="Q226" s="71"/>
      <c r="R226" s="71"/>
      <c r="S226" s="71"/>
      <c r="T226" s="71"/>
      <c r="U226" s="71"/>
      <c r="V226" s="71"/>
      <c r="W226" s="71"/>
      <c r="X226" s="71"/>
      <c r="Y226" s="71"/>
      <c r="Z226" s="71"/>
      <c r="AA226" s="71"/>
      <c r="AB226" s="71"/>
      <c r="AC226" s="71"/>
      <c r="AD226" s="71"/>
      <c r="AE226" s="71"/>
      <c r="AF226" s="71"/>
      <c r="AG226" s="71"/>
    </row>
    <row r="227" spans="1:33" s="88" customFormat="1" ht="11.25" customHeight="1" x14ac:dyDescent="0.3">
      <c r="A227" s="5">
        <v>185</v>
      </c>
      <c r="B227" s="5" t="s">
        <v>98</v>
      </c>
      <c r="C227" s="5">
        <v>150</v>
      </c>
      <c r="D227" s="5">
        <v>132</v>
      </c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>
        <v>23.1</v>
      </c>
      <c r="V227" s="5"/>
      <c r="W227" s="5"/>
      <c r="X227" s="5"/>
      <c r="Y227" s="5"/>
      <c r="Z227" s="5"/>
      <c r="AA227" s="5"/>
      <c r="AB227" s="5"/>
      <c r="AC227" s="5"/>
      <c r="AD227" s="5">
        <v>5</v>
      </c>
      <c r="AE227" s="5"/>
      <c r="AF227" s="5"/>
      <c r="AG227" s="5">
        <v>0.2</v>
      </c>
    </row>
    <row r="228" spans="1:33" s="88" customFormat="1" ht="11.25" customHeight="1" x14ac:dyDescent="0.3">
      <c r="A228" s="10">
        <v>224</v>
      </c>
      <c r="B228" s="5" t="s">
        <v>182</v>
      </c>
      <c r="C228" s="5">
        <v>60</v>
      </c>
      <c r="D228" s="5">
        <v>21</v>
      </c>
      <c r="E228" s="5"/>
      <c r="F228" s="5"/>
      <c r="G228" s="5"/>
      <c r="H228" s="5">
        <v>21</v>
      </c>
      <c r="I228" s="5"/>
      <c r="J228" s="5"/>
      <c r="K228" s="5"/>
      <c r="L228" s="5">
        <v>31.95</v>
      </c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>
        <v>3</v>
      </c>
      <c r="Y228" s="5"/>
      <c r="Z228" s="5"/>
      <c r="AA228" s="5"/>
      <c r="AB228" s="5"/>
      <c r="AC228" s="5"/>
      <c r="AD228" s="5"/>
      <c r="AE228" s="5"/>
      <c r="AF228" s="5"/>
      <c r="AG228" s="5">
        <v>0.3</v>
      </c>
    </row>
    <row r="229" spans="1:33" s="88" customFormat="1" ht="11.25" customHeight="1" x14ac:dyDescent="0.3">
      <c r="A229" s="14">
        <v>394</v>
      </c>
      <c r="B229" s="5" t="s">
        <v>165</v>
      </c>
      <c r="C229" s="5">
        <v>180</v>
      </c>
      <c r="D229" s="5">
        <v>90</v>
      </c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>
        <v>0.7</v>
      </c>
      <c r="AB229" s="5"/>
      <c r="AC229" s="5"/>
      <c r="AD229" s="5">
        <v>5</v>
      </c>
      <c r="AE229" s="5"/>
      <c r="AF229" s="5"/>
      <c r="AG229" s="5"/>
    </row>
    <row r="230" spans="1:33" s="88" customFormat="1" ht="11.25" customHeight="1" x14ac:dyDescent="0.3">
      <c r="A230" s="5"/>
      <c r="B230" s="5" t="s">
        <v>32</v>
      </c>
      <c r="C230" s="5">
        <v>25</v>
      </c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>
        <v>25</v>
      </c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</row>
    <row r="232" spans="1:33" ht="10.5" customHeight="1" x14ac:dyDescent="0.2">
      <c r="C232" s="72"/>
    </row>
    <row r="233" spans="1:33" s="88" customFormat="1" ht="14.4" x14ac:dyDescent="0.3">
      <c r="A233" s="5">
        <v>401</v>
      </c>
      <c r="B233" s="5" t="s">
        <v>144</v>
      </c>
      <c r="C233" s="5">
        <v>180</v>
      </c>
      <c r="D233" s="5">
        <v>180</v>
      </c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</row>
    <row r="236" spans="1:33" s="88" customFormat="1" ht="10.5" customHeight="1" x14ac:dyDescent="0.3">
      <c r="A236" s="5" t="s">
        <v>47</v>
      </c>
      <c r="B236" s="5" t="s">
        <v>194</v>
      </c>
      <c r="C236" s="5">
        <v>40</v>
      </c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>
        <v>37.200000000000003</v>
      </c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>
        <v>2.4</v>
      </c>
      <c r="Z236" s="5"/>
      <c r="AA236" s="5"/>
      <c r="AB236" s="5"/>
      <c r="AC236" s="5"/>
      <c r="AD236" s="5">
        <v>0.8</v>
      </c>
      <c r="AE236" s="5"/>
      <c r="AF236" s="5"/>
      <c r="AG236" s="5"/>
    </row>
    <row r="237" spans="1:33" s="88" customFormat="1" ht="10.5" customHeight="1" x14ac:dyDescent="0.3">
      <c r="A237" s="5">
        <v>58</v>
      </c>
      <c r="B237" s="5" t="s">
        <v>113</v>
      </c>
      <c r="C237" s="5">
        <v>180</v>
      </c>
      <c r="D237" s="5"/>
      <c r="E237" s="5"/>
      <c r="F237" s="5"/>
      <c r="G237" s="5"/>
      <c r="H237" s="5"/>
      <c r="I237" s="5"/>
      <c r="J237" s="5"/>
      <c r="K237" s="5"/>
      <c r="L237" s="5"/>
      <c r="M237" s="5">
        <v>14.4</v>
      </c>
      <c r="N237" s="5">
        <v>61.6</v>
      </c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>
        <v>3.6</v>
      </c>
      <c r="Z237" s="5"/>
      <c r="AA237" s="5"/>
      <c r="AB237" s="5"/>
      <c r="AC237" s="5"/>
      <c r="AD237" s="5">
        <v>1.3</v>
      </c>
      <c r="AE237" s="5"/>
      <c r="AF237" s="5"/>
      <c r="AG237" s="5">
        <v>0.9</v>
      </c>
    </row>
    <row r="238" spans="1:33" s="88" customFormat="1" ht="10.5" customHeight="1" x14ac:dyDescent="0.3">
      <c r="A238" s="5">
        <v>304</v>
      </c>
      <c r="B238" s="5" t="s">
        <v>183</v>
      </c>
      <c r="C238" s="5">
        <v>160</v>
      </c>
      <c r="D238" s="5"/>
      <c r="E238" s="5"/>
      <c r="F238" s="5"/>
      <c r="G238" s="5"/>
      <c r="H238" s="5"/>
      <c r="I238" s="5">
        <v>55.8</v>
      </c>
      <c r="J238" s="5"/>
      <c r="K238" s="5"/>
      <c r="L238" s="5"/>
      <c r="M238" s="5"/>
      <c r="N238" s="5">
        <v>23.8</v>
      </c>
      <c r="O238" s="5"/>
      <c r="P238" s="5"/>
      <c r="Q238" s="5"/>
      <c r="R238" s="5"/>
      <c r="S238" s="5"/>
      <c r="T238" s="5"/>
      <c r="U238" s="5">
        <v>27</v>
      </c>
      <c r="V238" s="5"/>
      <c r="W238" s="5"/>
      <c r="X238" s="5">
        <v>3.6</v>
      </c>
      <c r="Y238" s="5">
        <v>2.2000000000000002</v>
      </c>
      <c r="Z238" s="5"/>
      <c r="AA238" s="5"/>
      <c r="AB238" s="5"/>
      <c r="AC238" s="5"/>
      <c r="AD238" s="5"/>
      <c r="AE238" s="5"/>
      <c r="AF238" s="5"/>
      <c r="AG238" s="5">
        <v>0.25</v>
      </c>
    </row>
    <row r="239" spans="1:33" s="88" customFormat="1" ht="10.5" customHeight="1" x14ac:dyDescent="0.3">
      <c r="A239" s="5">
        <v>376</v>
      </c>
      <c r="B239" s="5" t="s">
        <v>184</v>
      </c>
      <c r="C239" s="5">
        <v>150</v>
      </c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>
        <v>20</v>
      </c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>
        <v>4</v>
      </c>
      <c r="AE239" s="5"/>
      <c r="AF239" s="5"/>
      <c r="AG239" s="5"/>
    </row>
    <row r="240" spans="1:33" s="88" customFormat="1" ht="10.5" customHeight="1" x14ac:dyDescent="0.3">
      <c r="A240" s="5"/>
      <c r="B240" s="5" t="s">
        <v>32</v>
      </c>
      <c r="C240" s="5">
        <v>25</v>
      </c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>
        <v>25</v>
      </c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</row>
    <row r="241" spans="1:33" s="88" customFormat="1" ht="10.5" customHeight="1" x14ac:dyDescent="0.3">
      <c r="A241" s="5"/>
      <c r="B241" s="5" t="s">
        <v>146</v>
      </c>
      <c r="C241" s="5">
        <v>20</v>
      </c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>
        <v>20</v>
      </c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</row>
    <row r="243" spans="1:33" s="88" customFormat="1" ht="12" customHeight="1" x14ac:dyDescent="0.3">
      <c r="A243" s="5">
        <v>229</v>
      </c>
      <c r="B243" s="5" t="s">
        <v>108</v>
      </c>
      <c r="C243" s="5">
        <v>130</v>
      </c>
      <c r="D243" s="5"/>
      <c r="E243" s="5">
        <v>101</v>
      </c>
      <c r="F243" s="5"/>
      <c r="G243" s="5"/>
      <c r="H243" s="5"/>
      <c r="I243" s="5"/>
      <c r="J243" s="5"/>
      <c r="K243" s="5"/>
      <c r="L243" s="5">
        <v>7.15</v>
      </c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>
        <v>14.3</v>
      </c>
      <c r="X243" s="5">
        <v>3.4</v>
      </c>
      <c r="Y243" s="5"/>
      <c r="Z243" s="5"/>
      <c r="AA243" s="5"/>
      <c r="AB243" s="5"/>
      <c r="AC243" s="5"/>
      <c r="AD243" s="5"/>
      <c r="AE243" s="5"/>
      <c r="AF243" s="5"/>
      <c r="AG243" s="5">
        <v>0.15</v>
      </c>
    </row>
    <row r="244" spans="1:33" s="88" customFormat="1" ht="12" customHeight="1" x14ac:dyDescent="0.3">
      <c r="A244" s="5">
        <v>351</v>
      </c>
      <c r="B244" s="5" t="s">
        <v>105</v>
      </c>
      <c r="C244" s="5">
        <v>30</v>
      </c>
      <c r="D244" s="5">
        <v>15</v>
      </c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>
        <v>1.35</v>
      </c>
      <c r="X244" s="5">
        <v>1.35</v>
      </c>
      <c r="Y244" s="5"/>
      <c r="Z244" s="5"/>
      <c r="AA244" s="5"/>
      <c r="AB244" s="5"/>
      <c r="AC244" s="5"/>
      <c r="AD244" s="5">
        <v>2.4</v>
      </c>
      <c r="AE244" s="5"/>
      <c r="AF244" s="5"/>
      <c r="AG244" s="5"/>
    </row>
    <row r="245" spans="1:33" s="88" customFormat="1" ht="12" customHeight="1" x14ac:dyDescent="0.3">
      <c r="A245" s="5">
        <v>395</v>
      </c>
      <c r="B245" s="5" t="s">
        <v>142</v>
      </c>
      <c r="C245" s="5">
        <v>180</v>
      </c>
      <c r="D245" s="5">
        <v>90</v>
      </c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>
        <v>2.5</v>
      </c>
      <c r="AD245" s="5">
        <v>5</v>
      </c>
      <c r="AE245" s="5"/>
      <c r="AF245" s="5"/>
      <c r="AG245" s="5"/>
    </row>
    <row r="246" spans="1:33" s="88" customFormat="1" ht="12" customHeight="1" x14ac:dyDescent="0.3">
      <c r="A246" s="5">
        <v>368</v>
      </c>
      <c r="B246" s="5" t="s">
        <v>38</v>
      </c>
      <c r="C246" s="5">
        <v>95</v>
      </c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>
        <v>95</v>
      </c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</row>
    <row r="248" spans="1:33" ht="10.5" customHeight="1" x14ac:dyDescent="0.2">
      <c r="C248" s="72"/>
    </row>
    <row r="249" spans="1:33" s="90" customFormat="1" ht="10.5" customHeight="1" x14ac:dyDescent="0.2">
      <c r="A249" s="7"/>
      <c r="B249" s="8" t="s">
        <v>84</v>
      </c>
      <c r="C249" s="7"/>
      <c r="D249" s="7">
        <f t="shared" ref="D249:AG249" si="10">SUM(D227:D246)</f>
        <v>528</v>
      </c>
      <c r="E249" s="7">
        <f t="shared" si="10"/>
        <v>101</v>
      </c>
      <c r="F249" s="7">
        <f t="shared" si="10"/>
        <v>0</v>
      </c>
      <c r="G249" s="7">
        <f t="shared" si="10"/>
        <v>0</v>
      </c>
      <c r="H249" s="7">
        <f t="shared" si="10"/>
        <v>21</v>
      </c>
      <c r="I249" s="7">
        <f t="shared" si="10"/>
        <v>55.8</v>
      </c>
      <c r="J249" s="7">
        <f t="shared" si="10"/>
        <v>0</v>
      </c>
      <c r="K249" s="7">
        <f t="shared" si="10"/>
        <v>0</v>
      </c>
      <c r="L249" s="7">
        <f t="shared" si="10"/>
        <v>39.1</v>
      </c>
      <c r="M249" s="7">
        <f t="shared" si="10"/>
        <v>14.4</v>
      </c>
      <c r="N249" s="7">
        <f t="shared" si="10"/>
        <v>122.60000000000001</v>
      </c>
      <c r="O249" s="7">
        <f t="shared" si="10"/>
        <v>95</v>
      </c>
      <c r="P249" s="7">
        <f t="shared" si="10"/>
        <v>20</v>
      </c>
      <c r="Q249" s="7">
        <f t="shared" si="10"/>
        <v>0</v>
      </c>
      <c r="R249" s="7">
        <f t="shared" si="10"/>
        <v>0</v>
      </c>
      <c r="S249" s="7">
        <f t="shared" si="10"/>
        <v>20</v>
      </c>
      <c r="T249" s="7">
        <f t="shared" si="10"/>
        <v>50</v>
      </c>
      <c r="U249" s="7">
        <f t="shared" si="10"/>
        <v>50.1</v>
      </c>
      <c r="V249" s="7">
        <f t="shared" si="10"/>
        <v>0</v>
      </c>
      <c r="W249" s="7">
        <f t="shared" si="10"/>
        <v>15.65</v>
      </c>
      <c r="X249" s="7">
        <f t="shared" si="10"/>
        <v>11.35</v>
      </c>
      <c r="Y249" s="7">
        <f t="shared" si="10"/>
        <v>8.1999999999999993</v>
      </c>
      <c r="Z249" s="7">
        <f t="shared" si="10"/>
        <v>0</v>
      </c>
      <c r="AA249" s="7">
        <f t="shared" si="10"/>
        <v>0.7</v>
      </c>
      <c r="AB249" s="7">
        <f t="shared" si="10"/>
        <v>0</v>
      </c>
      <c r="AC249" s="7">
        <f t="shared" si="10"/>
        <v>2.5</v>
      </c>
      <c r="AD249" s="7">
        <f t="shared" si="10"/>
        <v>23.5</v>
      </c>
      <c r="AE249" s="7">
        <f t="shared" si="10"/>
        <v>0</v>
      </c>
      <c r="AF249" s="7">
        <f t="shared" si="10"/>
        <v>0</v>
      </c>
      <c r="AG249" s="7">
        <f t="shared" si="10"/>
        <v>1.7999999999999998</v>
      </c>
    </row>
    <row r="250" spans="1:33" s="95" customFormat="1" ht="10.5" customHeight="1" x14ac:dyDescent="0.2">
      <c r="A250" s="13"/>
      <c r="B250" s="8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</row>
    <row r="251" spans="1:33" s="96" customFormat="1" ht="10.5" customHeight="1" x14ac:dyDescent="0.25">
      <c r="A251" s="131" t="s">
        <v>88</v>
      </c>
      <c r="B251" s="132"/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</row>
    <row r="252" spans="1:33" s="88" customFormat="1" ht="11.25" customHeight="1" x14ac:dyDescent="0.3">
      <c r="A252" s="5">
        <v>2</v>
      </c>
      <c r="B252" s="5" t="s">
        <v>89</v>
      </c>
      <c r="C252" s="5">
        <v>45</v>
      </c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>
        <v>20</v>
      </c>
      <c r="U252" s="5"/>
      <c r="V252" s="5"/>
      <c r="W252" s="5"/>
      <c r="X252" s="5">
        <v>5</v>
      </c>
      <c r="Y252" s="5"/>
      <c r="Z252" s="5">
        <v>20</v>
      </c>
      <c r="AA252" s="5"/>
      <c r="AB252" s="5"/>
      <c r="AC252" s="5"/>
      <c r="AD252" s="5"/>
      <c r="AE252" s="5"/>
      <c r="AF252" s="5"/>
      <c r="AG252" s="5"/>
    </row>
    <row r="253" spans="1:33" s="88" customFormat="1" ht="11.25" customHeight="1" x14ac:dyDescent="0.3">
      <c r="A253" s="22">
        <v>279</v>
      </c>
      <c r="B253" s="84" t="s">
        <v>185</v>
      </c>
      <c r="C253" s="5">
        <v>80</v>
      </c>
      <c r="D253" s="22"/>
      <c r="E253" s="22"/>
      <c r="F253" s="22"/>
      <c r="G253" s="22"/>
      <c r="H253" s="22">
        <v>88</v>
      </c>
      <c r="I253" s="22"/>
      <c r="J253" s="22"/>
      <c r="K253" s="22"/>
      <c r="L253" s="22">
        <v>10</v>
      </c>
      <c r="M253" s="22"/>
      <c r="N253" s="22"/>
      <c r="O253" s="22"/>
      <c r="P253" s="22"/>
      <c r="Q253" s="22"/>
      <c r="R253" s="22"/>
      <c r="S253" s="22"/>
      <c r="T253" s="22"/>
      <c r="U253" s="22">
        <v>5</v>
      </c>
      <c r="V253" s="22"/>
      <c r="W253" s="22"/>
      <c r="X253" s="22">
        <v>8</v>
      </c>
      <c r="Y253" s="22"/>
      <c r="Z253" s="22"/>
      <c r="AA253" s="22"/>
      <c r="AB253" s="22"/>
      <c r="AC253" s="22"/>
      <c r="AD253" s="22"/>
      <c r="AE253" s="22"/>
      <c r="AF253" s="22"/>
      <c r="AG253" s="22">
        <v>0.5</v>
      </c>
    </row>
    <row r="254" spans="1:33" s="88" customFormat="1" ht="11.25" customHeight="1" x14ac:dyDescent="0.3">
      <c r="A254" s="5" t="s">
        <v>47</v>
      </c>
      <c r="B254" s="5" t="s">
        <v>125</v>
      </c>
      <c r="C254" s="5">
        <v>40</v>
      </c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>
        <v>40</v>
      </c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</row>
    <row r="255" spans="1:33" s="88" customFormat="1" ht="11.25" customHeight="1" x14ac:dyDescent="0.3">
      <c r="A255" s="14">
        <v>394</v>
      </c>
      <c r="B255" s="5" t="s">
        <v>196</v>
      </c>
      <c r="C255" s="5">
        <v>180</v>
      </c>
      <c r="D255" s="5">
        <v>90</v>
      </c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>
        <v>0.7</v>
      </c>
      <c r="AB255" s="5"/>
      <c r="AC255" s="5"/>
      <c r="AD255" s="5">
        <v>5</v>
      </c>
      <c r="AE255" s="5"/>
      <c r="AF255" s="5"/>
      <c r="AG255" s="5"/>
    </row>
    <row r="256" spans="1:33" s="88" customFormat="1" ht="11.25" customHeight="1" x14ac:dyDescent="0.3">
      <c r="A256" s="5"/>
      <c r="B256" s="5" t="s">
        <v>146</v>
      </c>
      <c r="C256" s="5">
        <v>20</v>
      </c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>
        <v>25</v>
      </c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</row>
    <row r="257" spans="1:33" ht="10.5" customHeight="1" x14ac:dyDescent="0.2">
      <c r="C257" s="72"/>
    </row>
    <row r="259" spans="1:33" s="88" customFormat="1" ht="13.5" customHeight="1" x14ac:dyDescent="0.3">
      <c r="A259" s="5">
        <v>399</v>
      </c>
      <c r="B259" s="5" t="s">
        <v>129</v>
      </c>
      <c r="C259" s="5">
        <v>180</v>
      </c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>
        <v>180</v>
      </c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</row>
    <row r="260" spans="1:33" s="88" customFormat="1" ht="12.75" customHeight="1" x14ac:dyDescent="0.3">
      <c r="A260" s="5"/>
      <c r="B260" s="5" t="s">
        <v>38</v>
      </c>
      <c r="C260" s="5">
        <v>95</v>
      </c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>
        <v>95</v>
      </c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</row>
    <row r="262" spans="1:33" s="88" customFormat="1" ht="11.25" customHeight="1" x14ac:dyDescent="0.3">
      <c r="A262" s="5">
        <v>16</v>
      </c>
      <c r="B262" s="5" t="s">
        <v>81</v>
      </c>
      <c r="C262" s="5">
        <v>40</v>
      </c>
      <c r="D262" s="5"/>
      <c r="E262" s="5"/>
      <c r="F262" s="5"/>
      <c r="G262" s="5"/>
      <c r="H262" s="5"/>
      <c r="I262" s="5"/>
      <c r="J262" s="5"/>
      <c r="K262" s="5"/>
      <c r="L262" s="5"/>
      <c r="M262" s="5">
        <v>10.4</v>
      </c>
      <c r="N262" s="5">
        <v>28</v>
      </c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>
        <v>2</v>
      </c>
      <c r="Z262" s="5"/>
      <c r="AA262" s="5"/>
      <c r="AB262" s="5"/>
      <c r="AC262" s="5"/>
      <c r="AD262" s="5"/>
      <c r="AE262" s="5"/>
      <c r="AF262" s="5"/>
      <c r="AG262" s="5">
        <v>0.1</v>
      </c>
    </row>
    <row r="263" spans="1:33" ht="10.5" customHeight="1" x14ac:dyDescent="0.2">
      <c r="A263" s="5">
        <v>75</v>
      </c>
      <c r="B263" s="5" t="s">
        <v>39</v>
      </c>
      <c r="C263" s="5">
        <v>180</v>
      </c>
      <c r="M263" s="5">
        <f>75*180/250</f>
        <v>54</v>
      </c>
      <c r="N263" s="5">
        <f>55*180/250</f>
        <v>39.6</v>
      </c>
      <c r="V263" s="111">
        <v>3.4</v>
      </c>
      <c r="Y263" s="5">
        <f>5*180/250</f>
        <v>3.6</v>
      </c>
      <c r="AG263" s="5">
        <v>0.15</v>
      </c>
    </row>
    <row r="264" spans="1:33" ht="10.5" customHeight="1" x14ac:dyDescent="0.2">
      <c r="A264" s="5">
        <v>282</v>
      </c>
      <c r="B264" s="5" t="s">
        <v>100</v>
      </c>
      <c r="C264" s="5">
        <v>60</v>
      </c>
      <c r="D264" s="5">
        <v>14</v>
      </c>
      <c r="H264" s="5">
        <v>44</v>
      </c>
      <c r="T264" s="5">
        <v>17</v>
      </c>
      <c r="X264" s="5">
        <v>4</v>
      </c>
      <c r="AG264" s="5">
        <v>0.15</v>
      </c>
    </row>
    <row r="265" spans="1:33" s="88" customFormat="1" ht="11.25" customHeight="1" x14ac:dyDescent="0.3">
      <c r="A265" s="5">
        <v>337</v>
      </c>
      <c r="B265" s="5" t="s">
        <v>171</v>
      </c>
      <c r="C265" s="5">
        <v>100</v>
      </c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>
        <v>134</v>
      </c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>
        <v>3.6</v>
      </c>
      <c r="Z265" s="5"/>
      <c r="AA265" s="5"/>
      <c r="AB265" s="5"/>
      <c r="AC265" s="5"/>
      <c r="AD265" s="5">
        <v>2</v>
      </c>
      <c r="AE265" s="5"/>
      <c r="AF265" s="5"/>
      <c r="AG265" s="5">
        <v>0.2</v>
      </c>
    </row>
    <row r="266" spans="1:33" s="88" customFormat="1" ht="12" customHeight="1" x14ac:dyDescent="0.3">
      <c r="A266" s="5">
        <v>376</v>
      </c>
      <c r="B266" s="5" t="s">
        <v>197</v>
      </c>
      <c r="C266" s="5">
        <v>150</v>
      </c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>
        <v>20</v>
      </c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>
        <v>4</v>
      </c>
      <c r="AE266" s="5"/>
      <c r="AF266" s="5"/>
      <c r="AG266" s="5"/>
    </row>
    <row r="267" spans="1:33" s="88" customFormat="1" ht="12" customHeight="1" x14ac:dyDescent="0.3">
      <c r="A267" s="5"/>
      <c r="B267" s="5" t="s">
        <v>32</v>
      </c>
      <c r="C267" s="5">
        <v>20</v>
      </c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>
        <v>20</v>
      </c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</row>
    <row r="268" spans="1:33" s="88" customFormat="1" ht="12" customHeight="1" x14ac:dyDescent="0.3">
      <c r="A268" s="5"/>
      <c r="B268" s="5" t="s">
        <v>146</v>
      </c>
      <c r="C268" s="5">
        <v>25</v>
      </c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>
        <v>25</v>
      </c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</row>
    <row r="269" spans="1:33" ht="10.5" customHeight="1" x14ac:dyDescent="0.2">
      <c r="C269" s="72"/>
    </row>
    <row r="270" spans="1:33" s="88" customFormat="1" ht="12.75" customHeight="1" x14ac:dyDescent="0.3">
      <c r="A270" s="5"/>
      <c r="B270" s="5" t="s">
        <v>167</v>
      </c>
      <c r="C270" s="5">
        <v>60</v>
      </c>
      <c r="D270" s="5"/>
      <c r="E270" s="5"/>
      <c r="F270" s="5"/>
      <c r="G270" s="5"/>
      <c r="H270" s="5"/>
      <c r="I270" s="5"/>
      <c r="J270" s="5"/>
      <c r="K270" s="5">
        <v>67.2</v>
      </c>
      <c r="L270" s="5">
        <v>6</v>
      </c>
      <c r="M270" s="5">
        <v>6</v>
      </c>
      <c r="N270" s="5">
        <v>13.9</v>
      </c>
      <c r="O270" s="5"/>
      <c r="P270" s="5"/>
      <c r="Q270" s="5"/>
      <c r="R270" s="5"/>
      <c r="S270" s="5"/>
      <c r="T270" s="5"/>
      <c r="U270" s="5"/>
      <c r="V270" s="5"/>
      <c r="W270" s="5"/>
      <c r="X270" s="5">
        <v>3.6</v>
      </c>
      <c r="Y270" s="5">
        <v>2.0499999999999998</v>
      </c>
      <c r="Z270" s="5"/>
      <c r="AA270" s="5"/>
      <c r="AB270" s="5"/>
      <c r="AC270" s="5"/>
      <c r="AD270" s="5"/>
      <c r="AE270" s="5"/>
      <c r="AF270" s="5"/>
      <c r="AG270" s="5">
        <v>0.15</v>
      </c>
    </row>
    <row r="271" spans="1:33" s="88" customFormat="1" ht="12.75" customHeight="1" x14ac:dyDescent="0.3">
      <c r="A271" s="5"/>
      <c r="B271" s="5" t="s">
        <v>106</v>
      </c>
      <c r="C271" s="5">
        <v>10</v>
      </c>
      <c r="D271" s="5"/>
      <c r="E271" s="5"/>
      <c r="F271" s="5">
        <v>10</v>
      </c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</row>
    <row r="272" spans="1:33" s="88" customFormat="1" ht="12.75" customHeight="1" x14ac:dyDescent="0.3">
      <c r="A272" s="5">
        <v>321</v>
      </c>
      <c r="B272" s="5" t="s">
        <v>40</v>
      </c>
      <c r="C272" s="5">
        <v>120</v>
      </c>
      <c r="D272" s="5">
        <v>18</v>
      </c>
      <c r="E272" s="5"/>
      <c r="F272" s="5"/>
      <c r="G272" s="5"/>
      <c r="H272" s="5"/>
      <c r="I272" s="5"/>
      <c r="J272" s="5"/>
      <c r="K272" s="5"/>
      <c r="L272" s="5"/>
      <c r="M272" s="5">
        <v>103.2</v>
      </c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>
        <v>4</v>
      </c>
      <c r="Y272" s="5"/>
      <c r="Z272" s="5"/>
      <c r="AA272" s="5"/>
      <c r="AB272" s="5"/>
      <c r="AC272" s="5"/>
      <c r="AD272" s="5"/>
      <c r="AE272" s="5"/>
      <c r="AF272" s="5"/>
      <c r="AG272" s="5">
        <v>0.6</v>
      </c>
    </row>
    <row r="273" spans="1:33" s="88" customFormat="1" ht="12.75" customHeight="1" x14ac:dyDescent="0.3">
      <c r="A273" s="5">
        <v>400</v>
      </c>
      <c r="B273" s="5" t="s">
        <v>144</v>
      </c>
      <c r="C273" s="74">
        <v>180</v>
      </c>
      <c r="D273" s="5">
        <v>180</v>
      </c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</row>
    <row r="274" spans="1:33" s="88" customFormat="1" ht="12.75" customHeight="1" x14ac:dyDescent="0.3">
      <c r="A274" s="5">
        <v>460</v>
      </c>
      <c r="B274" s="5" t="s">
        <v>186</v>
      </c>
      <c r="C274" s="5">
        <v>50</v>
      </c>
      <c r="D274" s="5">
        <v>8.6</v>
      </c>
      <c r="E274" s="5">
        <v>13.27</v>
      </c>
      <c r="F274" s="5"/>
      <c r="G274" s="5"/>
      <c r="H274" s="5"/>
      <c r="I274" s="5"/>
      <c r="J274" s="5"/>
      <c r="K274" s="5"/>
      <c r="L274" s="5">
        <v>5.5</v>
      </c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>
        <v>29.3</v>
      </c>
      <c r="X274" s="5">
        <v>1</v>
      </c>
      <c r="Y274" s="5">
        <v>0.5</v>
      </c>
      <c r="Z274" s="5"/>
      <c r="AA274" s="5"/>
      <c r="AB274" s="5"/>
      <c r="AC274" s="5"/>
      <c r="AD274" s="5">
        <v>4.2</v>
      </c>
      <c r="AE274" s="5">
        <v>1.5</v>
      </c>
      <c r="AF274" s="5"/>
      <c r="AG274" s="5">
        <v>0.15</v>
      </c>
    </row>
    <row r="275" spans="1:33" s="88" customFormat="1" ht="12.75" customHeight="1" x14ac:dyDescent="0.3">
      <c r="A275" s="5"/>
      <c r="B275" s="5" t="s">
        <v>32</v>
      </c>
      <c r="C275" s="5">
        <v>20</v>
      </c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>
        <v>20</v>
      </c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</row>
    <row r="277" spans="1:33" ht="10.5" customHeight="1" x14ac:dyDescent="0.2">
      <c r="C277" s="72"/>
    </row>
    <row r="278" spans="1:33" s="90" customFormat="1" ht="10.5" customHeight="1" x14ac:dyDescent="0.2">
      <c r="A278" s="7"/>
      <c r="B278" s="9" t="s">
        <v>84</v>
      </c>
      <c r="C278" s="7"/>
      <c r="D278" s="7">
        <f t="shared" ref="D278:AG278" si="11">SUM(D252:D275)</f>
        <v>310.60000000000002</v>
      </c>
      <c r="E278" s="7">
        <f t="shared" si="11"/>
        <v>13.27</v>
      </c>
      <c r="F278" s="7">
        <f t="shared" si="11"/>
        <v>10</v>
      </c>
      <c r="G278" s="7">
        <f t="shared" si="11"/>
        <v>0</v>
      </c>
      <c r="H278" s="7">
        <f t="shared" si="11"/>
        <v>132</v>
      </c>
      <c r="I278" s="7">
        <f t="shared" si="11"/>
        <v>0</v>
      </c>
      <c r="J278" s="7">
        <f t="shared" si="11"/>
        <v>0</v>
      </c>
      <c r="K278" s="7">
        <f t="shared" si="11"/>
        <v>67.2</v>
      </c>
      <c r="L278" s="7">
        <f t="shared" si="11"/>
        <v>21.5</v>
      </c>
      <c r="M278" s="7">
        <f t="shared" si="11"/>
        <v>173.60000000000002</v>
      </c>
      <c r="N278" s="7">
        <f t="shared" si="11"/>
        <v>255.5</v>
      </c>
      <c r="O278" s="7">
        <f t="shared" si="11"/>
        <v>95</v>
      </c>
      <c r="P278" s="7">
        <f t="shared" si="11"/>
        <v>20</v>
      </c>
      <c r="Q278" s="7">
        <f t="shared" si="11"/>
        <v>180</v>
      </c>
      <c r="R278" s="7">
        <f t="shared" si="11"/>
        <v>0</v>
      </c>
      <c r="S278" s="7">
        <f t="shared" si="11"/>
        <v>50</v>
      </c>
      <c r="T278" s="7">
        <f t="shared" si="11"/>
        <v>77</v>
      </c>
      <c r="U278" s="7">
        <f t="shared" si="11"/>
        <v>5</v>
      </c>
      <c r="V278" s="7">
        <f t="shared" si="11"/>
        <v>3.4</v>
      </c>
      <c r="W278" s="7">
        <f t="shared" si="11"/>
        <v>29.3</v>
      </c>
      <c r="X278" s="7">
        <f t="shared" si="11"/>
        <v>25.6</v>
      </c>
      <c r="Y278" s="7">
        <f t="shared" si="11"/>
        <v>11.75</v>
      </c>
      <c r="Z278" s="7">
        <f t="shared" si="11"/>
        <v>20</v>
      </c>
      <c r="AA278" s="7">
        <f t="shared" si="11"/>
        <v>0.7</v>
      </c>
      <c r="AB278" s="7">
        <f t="shared" si="11"/>
        <v>0</v>
      </c>
      <c r="AC278" s="7">
        <f t="shared" si="11"/>
        <v>0</v>
      </c>
      <c r="AD278" s="7">
        <f t="shared" si="11"/>
        <v>15.2</v>
      </c>
      <c r="AE278" s="7">
        <f t="shared" si="11"/>
        <v>1.5</v>
      </c>
      <c r="AF278" s="7">
        <f t="shared" si="11"/>
        <v>0</v>
      </c>
      <c r="AG278" s="7">
        <f t="shared" si="11"/>
        <v>2</v>
      </c>
    </row>
    <row r="279" spans="1:33" s="95" customFormat="1" ht="10.5" customHeight="1" x14ac:dyDescent="0.2">
      <c r="A279" s="11"/>
      <c r="B279" s="12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</row>
    <row r="280" spans="1:33" s="97" customFormat="1" ht="16.5" customHeight="1" x14ac:dyDescent="0.3">
      <c r="A280" s="16"/>
      <c r="B280" s="17" t="s">
        <v>111</v>
      </c>
      <c r="C280" s="18"/>
      <c r="D280" s="18">
        <f t="shared" ref="D280:AG280" si="12">D278+D249+D224+D196+D168+D138+D110+D84+D56+D29</f>
        <v>3897.018</v>
      </c>
      <c r="E280" s="18">
        <f t="shared" si="12"/>
        <v>297.87</v>
      </c>
      <c r="F280" s="18">
        <f t="shared" si="12"/>
        <v>88.600000000000009</v>
      </c>
      <c r="G280" s="18">
        <f t="shared" si="12"/>
        <v>40</v>
      </c>
      <c r="H280" s="18">
        <f t="shared" si="12"/>
        <v>482.92</v>
      </c>
      <c r="I280" s="18">
        <f t="shared" si="12"/>
        <v>196.8</v>
      </c>
      <c r="J280" s="18">
        <f t="shared" si="12"/>
        <v>309.14999999999998</v>
      </c>
      <c r="K280" s="18">
        <f t="shared" si="12"/>
        <v>204</v>
      </c>
      <c r="L280" s="18">
        <f t="shared" si="12"/>
        <v>399.07</v>
      </c>
      <c r="M280" s="18">
        <f t="shared" si="12"/>
        <v>1144.5299999999997</v>
      </c>
      <c r="N280" s="18">
        <f t="shared" si="12"/>
        <v>1832.1599999999999</v>
      </c>
      <c r="O280" s="18">
        <f t="shared" si="12"/>
        <v>944</v>
      </c>
      <c r="P280" s="18">
        <f t="shared" si="12"/>
        <v>91.63</v>
      </c>
      <c r="Q280" s="18">
        <f t="shared" si="12"/>
        <v>1000</v>
      </c>
      <c r="R280" s="18">
        <f t="shared" si="12"/>
        <v>0</v>
      </c>
      <c r="S280" s="18">
        <f t="shared" si="12"/>
        <v>400.6</v>
      </c>
      <c r="T280" s="18">
        <f t="shared" si="12"/>
        <v>595.45000000000005</v>
      </c>
      <c r="U280" s="18">
        <f t="shared" si="12"/>
        <v>294.80999999999995</v>
      </c>
      <c r="V280" s="18">
        <f t="shared" si="12"/>
        <v>82.9</v>
      </c>
      <c r="W280" s="18">
        <f t="shared" si="12"/>
        <v>245.70999999999998</v>
      </c>
      <c r="X280" s="18">
        <f t="shared" si="12"/>
        <v>177.608</v>
      </c>
      <c r="Y280" s="18">
        <f t="shared" si="12"/>
        <v>88.283999999999992</v>
      </c>
      <c r="Z280" s="18">
        <f t="shared" si="12"/>
        <v>120</v>
      </c>
      <c r="AA280" s="18">
        <f t="shared" si="12"/>
        <v>5.08</v>
      </c>
      <c r="AB280" s="18">
        <f t="shared" si="12"/>
        <v>4.9499999999999993</v>
      </c>
      <c r="AC280" s="18">
        <f t="shared" si="12"/>
        <v>10</v>
      </c>
      <c r="AD280" s="18">
        <f t="shared" si="12"/>
        <v>250.99000000000007</v>
      </c>
      <c r="AE280" s="18">
        <f t="shared" si="12"/>
        <v>5</v>
      </c>
      <c r="AF280" s="18">
        <f t="shared" si="12"/>
        <v>20.100000000000001</v>
      </c>
      <c r="AG280" s="18">
        <f t="shared" si="12"/>
        <v>30.987999999999996</v>
      </c>
    </row>
    <row r="281" spans="1:33" s="97" customFormat="1" ht="17.25" customHeight="1" x14ac:dyDescent="0.3">
      <c r="A281" s="18"/>
      <c r="B281" s="98" t="s">
        <v>112</v>
      </c>
      <c r="C281" s="18"/>
      <c r="D281" s="18">
        <f>D282*10</f>
        <v>3900</v>
      </c>
      <c r="E281" s="18">
        <f>E282*10</f>
        <v>300</v>
      </c>
      <c r="F281" s="18">
        <f t="shared" ref="F281:AF281" si="13">F282*10</f>
        <v>90</v>
      </c>
      <c r="G281" s="18">
        <f t="shared" si="13"/>
        <v>40</v>
      </c>
      <c r="H281" s="18">
        <f t="shared" si="13"/>
        <v>500</v>
      </c>
      <c r="I281" s="18">
        <f t="shared" si="13"/>
        <v>200</v>
      </c>
      <c r="J281" s="18">
        <f t="shared" si="13"/>
        <v>320</v>
      </c>
      <c r="K281" s="18">
        <v>200</v>
      </c>
      <c r="L281" s="18">
        <v>400</v>
      </c>
      <c r="M281" s="18">
        <f t="shared" si="13"/>
        <v>1200</v>
      </c>
      <c r="N281" s="18">
        <v>1800</v>
      </c>
      <c r="O281" s="18">
        <f t="shared" si="13"/>
        <v>950</v>
      </c>
      <c r="P281" s="18">
        <f t="shared" si="13"/>
        <v>90</v>
      </c>
      <c r="Q281" s="18">
        <f t="shared" si="13"/>
        <v>1000</v>
      </c>
      <c r="R281" s="18">
        <f t="shared" si="13"/>
        <v>0</v>
      </c>
      <c r="S281" s="18">
        <f t="shared" si="13"/>
        <v>400</v>
      </c>
      <c r="T281" s="18">
        <f t="shared" si="13"/>
        <v>600</v>
      </c>
      <c r="U281" s="18">
        <f t="shared" si="13"/>
        <v>300</v>
      </c>
      <c r="V281" s="18">
        <f t="shared" si="13"/>
        <v>80</v>
      </c>
      <c r="W281" s="18">
        <f t="shared" si="13"/>
        <v>250</v>
      </c>
      <c r="X281" s="18">
        <f t="shared" si="13"/>
        <v>180</v>
      </c>
      <c r="Y281" s="18">
        <f t="shared" si="13"/>
        <v>90</v>
      </c>
      <c r="Z281" s="18">
        <v>120</v>
      </c>
      <c r="AA281" s="18">
        <f t="shared" si="13"/>
        <v>5</v>
      </c>
      <c r="AB281" s="18">
        <f t="shared" si="13"/>
        <v>5</v>
      </c>
      <c r="AC281" s="18">
        <f t="shared" si="13"/>
        <v>10</v>
      </c>
      <c r="AD281" s="18">
        <v>250</v>
      </c>
      <c r="AE281" s="18">
        <f t="shared" si="13"/>
        <v>4</v>
      </c>
      <c r="AF281" s="18">
        <f t="shared" si="13"/>
        <v>20</v>
      </c>
      <c r="AG281" s="18">
        <v>30</v>
      </c>
    </row>
    <row r="282" spans="1:33" ht="16.5" customHeight="1" x14ac:dyDescent="0.2">
      <c r="A282" s="133" t="s">
        <v>117</v>
      </c>
      <c r="B282" s="134"/>
      <c r="D282" s="5">
        <v>390</v>
      </c>
      <c r="E282" s="5">
        <v>30</v>
      </c>
      <c r="F282" s="5">
        <v>9</v>
      </c>
      <c r="G282" s="5">
        <v>4</v>
      </c>
      <c r="H282" s="5">
        <v>50</v>
      </c>
      <c r="I282" s="5">
        <v>20</v>
      </c>
      <c r="J282" s="5">
        <v>32</v>
      </c>
      <c r="K282" s="5">
        <v>20</v>
      </c>
      <c r="L282" s="5">
        <v>40</v>
      </c>
      <c r="M282" s="5">
        <v>120</v>
      </c>
      <c r="N282" s="5">
        <v>180</v>
      </c>
      <c r="O282" s="5">
        <v>95</v>
      </c>
      <c r="P282" s="5">
        <v>9</v>
      </c>
      <c r="Q282" s="5">
        <v>100</v>
      </c>
      <c r="R282" s="5">
        <v>0</v>
      </c>
      <c r="S282" s="5">
        <v>40</v>
      </c>
      <c r="T282" s="5">
        <v>60</v>
      </c>
      <c r="U282" s="5">
        <v>30</v>
      </c>
      <c r="V282" s="5">
        <v>8</v>
      </c>
      <c r="W282" s="22">
        <v>25</v>
      </c>
      <c r="X282" s="5">
        <v>18</v>
      </c>
      <c r="Y282" s="5">
        <v>9</v>
      </c>
      <c r="Z282" s="5">
        <v>12</v>
      </c>
      <c r="AA282" s="5">
        <v>0.5</v>
      </c>
      <c r="AB282" s="5">
        <v>0.5</v>
      </c>
      <c r="AC282" s="5">
        <v>1</v>
      </c>
      <c r="AD282" s="5">
        <v>25</v>
      </c>
      <c r="AE282" s="5">
        <v>0.4</v>
      </c>
      <c r="AF282" s="5">
        <v>2</v>
      </c>
      <c r="AG282" s="5">
        <v>3</v>
      </c>
    </row>
    <row r="283" spans="1:33" s="101" customFormat="1" ht="18" customHeight="1" x14ac:dyDescent="0.3">
      <c r="A283" s="99"/>
      <c r="B283" s="99" t="s">
        <v>131</v>
      </c>
      <c r="C283" s="99"/>
      <c r="D283" s="100">
        <f>-(100-(D280*100/D281))</f>
        <v>-7.646153846154391E-2</v>
      </c>
      <c r="E283" s="100">
        <f t="shared" ref="E283:AA283" si="14">-(100-(E280*100/E281))</f>
        <v>-0.70999999999999375</v>
      </c>
      <c r="F283" s="100">
        <f t="shared" si="14"/>
        <v>-1.5555555555555571</v>
      </c>
      <c r="G283" s="100">
        <f t="shared" si="14"/>
        <v>0</v>
      </c>
      <c r="H283" s="100">
        <f t="shared" si="14"/>
        <v>-3.4159999999999968</v>
      </c>
      <c r="I283" s="100">
        <f t="shared" si="14"/>
        <v>-1.5999999999999943</v>
      </c>
      <c r="J283" s="100">
        <f t="shared" si="14"/>
        <v>-3.3906250000000142</v>
      </c>
      <c r="K283" s="100">
        <f t="shared" si="14"/>
        <v>2</v>
      </c>
      <c r="L283" s="100">
        <f t="shared" si="14"/>
        <v>-0.23250000000000171</v>
      </c>
      <c r="M283" s="100">
        <f t="shared" si="14"/>
        <v>-4.6225000000000307</v>
      </c>
      <c r="N283" s="100">
        <f t="shared" si="14"/>
        <v>1.7866666666666617</v>
      </c>
      <c r="O283" s="100">
        <f t="shared" si="14"/>
        <v>-0.63157894736842479</v>
      </c>
      <c r="P283" s="100">
        <f t="shared" si="14"/>
        <v>1.8111111111111171</v>
      </c>
      <c r="Q283" s="100">
        <f t="shared" si="14"/>
        <v>0</v>
      </c>
      <c r="R283" s="100">
        <v>0</v>
      </c>
      <c r="S283" s="100">
        <f t="shared" si="14"/>
        <v>0.15000000000000568</v>
      </c>
      <c r="T283" s="100">
        <f t="shared" si="14"/>
        <v>-0.75833333333332575</v>
      </c>
      <c r="U283" s="100">
        <f t="shared" si="14"/>
        <v>-1.7300000000000182</v>
      </c>
      <c r="V283" s="100">
        <f t="shared" si="14"/>
        <v>3.625</v>
      </c>
      <c r="W283" s="100">
        <f t="shared" si="14"/>
        <v>-1.7160000000000082</v>
      </c>
      <c r="X283" s="100">
        <f t="shared" si="14"/>
        <v>-1.3288888888888977</v>
      </c>
      <c r="Y283" s="100">
        <f t="shared" si="14"/>
        <v>-1.9066666666666663</v>
      </c>
      <c r="Z283" s="100">
        <f t="shared" si="14"/>
        <v>0</v>
      </c>
      <c r="AA283" s="100">
        <f t="shared" si="14"/>
        <v>1.5999999999999943</v>
      </c>
      <c r="AB283" s="100">
        <f t="shared" ref="AB283:AG283" si="15">-(100-(AB280*100/AB281))</f>
        <v>-1.0000000000000142</v>
      </c>
      <c r="AC283" s="100">
        <f t="shared" si="15"/>
        <v>0</v>
      </c>
      <c r="AD283" s="100">
        <f t="shared" si="15"/>
        <v>0.39600000000002922</v>
      </c>
      <c r="AE283" s="100">
        <f t="shared" si="15"/>
        <v>25</v>
      </c>
      <c r="AF283" s="100">
        <f t="shared" si="15"/>
        <v>0.50000000000001421</v>
      </c>
      <c r="AG283" s="100">
        <f t="shared" si="15"/>
        <v>3.2933333333333223</v>
      </c>
    </row>
  </sheetData>
  <mergeCells count="11">
    <mergeCell ref="A140:B140"/>
    <mergeCell ref="A282:B282"/>
    <mergeCell ref="A2:B2"/>
    <mergeCell ref="A31:B31"/>
    <mergeCell ref="A58:B58"/>
    <mergeCell ref="A85:B85"/>
    <mergeCell ref="A112:B112"/>
    <mergeCell ref="A170:B170"/>
    <mergeCell ref="A198:B198"/>
    <mergeCell ref="A226:B226"/>
    <mergeCell ref="A251:B25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Энерг.Ц.</vt:lpstr>
      <vt:lpstr>Меню лето</vt:lpstr>
      <vt:lpstr>Сырьё лето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2025-01-20T08:15:59Z</dcterms:modified>
</cp:coreProperties>
</file>